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16815" windowHeight="7755" tabRatio="646" activeTab="2"/>
  </bookViews>
  <sheets>
    <sheet name="PROPOSTA" sheetId="3" r:id="rId1"/>
    <sheet name="Precificação por Lote" sheetId="2" r:id="rId2"/>
    <sheet name="Precificação Total" sheetId="1" r:id="rId3"/>
    <sheet name="RESUMO" sheetId="4" r:id="rId4"/>
    <sheet name="UNIFORME" sheetId="6" r:id="rId5"/>
  </sheets>
  <definedNames>
    <definedName name="_xlnm.Print_Area" localSheetId="2">'Precificação Total'!$A$1:$W$92</definedName>
    <definedName name="_xlnm.Print_Area" localSheetId="0">PROPOSTA!$A$1:$T$68</definedName>
  </definedNames>
  <calcPr calcId="152511"/>
</workbook>
</file>

<file path=xl/calcChain.xml><?xml version="1.0" encoding="utf-8"?>
<calcChain xmlns="http://schemas.openxmlformats.org/spreadsheetml/2006/main">
  <c r="H68" i="1" l="1"/>
  <c r="D19" i="6"/>
  <c r="M68" i="1" l="1"/>
  <c r="N68" i="1" s="1"/>
  <c r="O68" i="1" s="1"/>
  <c r="D3" i="6"/>
  <c r="B16" i="6"/>
  <c r="D16" i="6" s="1"/>
  <c r="B14" i="6"/>
  <c r="D14" i="6" s="1"/>
  <c r="B13" i="6"/>
  <c r="D13" i="6" s="1"/>
  <c r="D15" i="6"/>
  <c r="D6" i="6"/>
  <c r="D5" i="6"/>
  <c r="D4" i="6"/>
  <c r="D7" i="6" l="1"/>
  <c r="D8" i="6" s="1"/>
  <c r="D9" i="6" s="1"/>
  <c r="D17" i="6"/>
  <c r="D18" i="6" s="1"/>
  <c r="V6" i="1" l="1"/>
  <c r="E7" i="4" l="1"/>
  <c r="B4" i="4"/>
  <c r="B5" i="4" s="1"/>
  <c r="B6" i="4" s="1"/>
  <c r="B3" i="4"/>
  <c r="S68" i="1"/>
  <c r="T68" i="1" s="1"/>
  <c r="U68" i="1" s="1"/>
  <c r="P68" i="1"/>
  <c r="Q68" i="1" s="1"/>
  <c r="R68" i="1" s="1"/>
  <c r="J68" i="1"/>
  <c r="K68" i="1" s="1"/>
  <c r="L68" i="1" s="1"/>
  <c r="G68" i="1"/>
  <c r="I68" i="1" s="1"/>
  <c r="T64" i="1"/>
  <c r="U64" i="1" s="1"/>
  <c r="Q64" i="1"/>
  <c r="R64" i="1" s="1"/>
  <c r="N64" i="1"/>
  <c r="O64" i="1" s="1"/>
  <c r="K64" i="1"/>
  <c r="L64" i="1" s="1"/>
  <c r="H64" i="1"/>
  <c r="I64" i="1" s="1"/>
  <c r="T63" i="1"/>
  <c r="U63" i="1" s="1"/>
  <c r="Q63" i="1"/>
  <c r="R63" i="1" s="1"/>
  <c r="N63" i="1"/>
  <c r="O63" i="1" s="1"/>
  <c r="K63" i="1"/>
  <c r="H63" i="1"/>
  <c r="I63" i="1" s="1"/>
  <c r="T62" i="1"/>
  <c r="U62" i="1" s="1"/>
  <c r="Q62" i="1"/>
  <c r="R62" i="1" s="1"/>
  <c r="N62" i="1"/>
  <c r="O62" i="1" s="1"/>
  <c r="K62" i="1"/>
  <c r="L62" i="1" s="1"/>
  <c r="H62" i="1"/>
  <c r="I62" i="1" s="1"/>
  <c r="T61" i="1"/>
  <c r="U61" i="1" s="1"/>
  <c r="Q61" i="1"/>
  <c r="R61" i="1" s="1"/>
  <c r="N61" i="1"/>
  <c r="O61" i="1" s="1"/>
  <c r="K61" i="1"/>
  <c r="H61" i="1"/>
  <c r="I61" i="1" s="1"/>
  <c r="T60" i="1"/>
  <c r="U60" i="1" s="1"/>
  <c r="Q60" i="1"/>
  <c r="R60" i="1" s="1"/>
  <c r="N60" i="1"/>
  <c r="O60" i="1" s="1"/>
  <c r="K60" i="1"/>
  <c r="L60" i="1" s="1"/>
  <c r="H60" i="1"/>
  <c r="I60" i="1" s="1"/>
  <c r="S57" i="1"/>
  <c r="T57" i="1" s="1"/>
  <c r="U57" i="1" s="1"/>
  <c r="P57" i="1"/>
  <c r="Q57" i="1" s="1"/>
  <c r="R57" i="1" s="1"/>
  <c r="M57" i="1"/>
  <c r="N57" i="1" s="1"/>
  <c r="O57" i="1" s="1"/>
  <c r="J57" i="1"/>
  <c r="G57" i="1"/>
  <c r="H57" i="1" s="1"/>
  <c r="S56" i="1"/>
  <c r="P56" i="1"/>
  <c r="M56" i="1"/>
  <c r="J56" i="1"/>
  <c r="G56" i="1"/>
  <c r="S55" i="1"/>
  <c r="T55" i="1" s="1"/>
  <c r="P55" i="1"/>
  <c r="Q55" i="1" s="1"/>
  <c r="M55" i="1"/>
  <c r="N55" i="1" s="1"/>
  <c r="O55" i="1" s="1"/>
  <c r="J55" i="1"/>
  <c r="K55" i="1" s="1"/>
  <c r="G55" i="1"/>
  <c r="H55" i="1" s="1"/>
  <c r="I55" i="1" s="1"/>
  <c r="T52" i="1"/>
  <c r="U52" i="1" s="1"/>
  <c r="Q52" i="1"/>
  <c r="R52" i="1" s="1"/>
  <c r="N52" i="1"/>
  <c r="O52" i="1" s="1"/>
  <c r="K52" i="1"/>
  <c r="L52" i="1" s="1"/>
  <c r="H52" i="1"/>
  <c r="T51" i="1"/>
  <c r="U51" i="1" s="1"/>
  <c r="Q51" i="1"/>
  <c r="R51" i="1" s="1"/>
  <c r="N51" i="1"/>
  <c r="O51" i="1" s="1"/>
  <c r="K51" i="1"/>
  <c r="L51" i="1" s="1"/>
  <c r="H51" i="1"/>
  <c r="I51" i="1" s="1"/>
  <c r="T50" i="1"/>
  <c r="U50" i="1" s="1"/>
  <c r="Q50" i="1"/>
  <c r="R50" i="1" s="1"/>
  <c r="N50" i="1"/>
  <c r="O50" i="1" s="1"/>
  <c r="K50" i="1"/>
  <c r="L50" i="1" s="1"/>
  <c r="H50" i="1"/>
  <c r="T49" i="1"/>
  <c r="U49" i="1" s="1"/>
  <c r="Q49" i="1"/>
  <c r="R49" i="1" s="1"/>
  <c r="N49" i="1"/>
  <c r="O49" i="1" s="1"/>
  <c r="K49" i="1"/>
  <c r="L49" i="1" s="1"/>
  <c r="H49" i="1"/>
  <c r="I49" i="1" s="1"/>
  <c r="T48" i="1"/>
  <c r="U48" i="1" s="1"/>
  <c r="Q48" i="1"/>
  <c r="R48" i="1" s="1"/>
  <c r="N48" i="1"/>
  <c r="O48" i="1" s="1"/>
  <c r="K48" i="1"/>
  <c r="L48" i="1" s="1"/>
  <c r="H48" i="1"/>
  <c r="S45" i="1"/>
  <c r="T45" i="1" s="1"/>
  <c r="U45" i="1" s="1"/>
  <c r="P45" i="1"/>
  <c r="Q45" i="1" s="1"/>
  <c r="R45" i="1" s="1"/>
  <c r="M45" i="1"/>
  <c r="N45" i="1" s="1"/>
  <c r="O45" i="1" s="1"/>
  <c r="J45" i="1"/>
  <c r="K45" i="1" s="1"/>
  <c r="G45" i="1"/>
  <c r="H45" i="1" s="1"/>
  <c r="I45" i="1" s="1"/>
  <c r="S44" i="1"/>
  <c r="P44" i="1"/>
  <c r="Q44" i="1" s="1"/>
  <c r="R44" i="1" s="1"/>
  <c r="M44" i="1"/>
  <c r="J44" i="1"/>
  <c r="K44" i="1" s="1"/>
  <c r="L44" i="1" s="1"/>
  <c r="G44" i="1"/>
  <c r="S42" i="1"/>
  <c r="P42" i="1"/>
  <c r="Q42" i="1" s="1"/>
  <c r="M42" i="1"/>
  <c r="J42" i="1"/>
  <c r="K42" i="1" s="1"/>
  <c r="L42" i="1" s="1"/>
  <c r="G42" i="1"/>
  <c r="H42" i="1" s="1"/>
  <c r="I42" i="1" s="1"/>
  <c r="T39" i="1"/>
  <c r="U39" i="1" s="1"/>
  <c r="Q39" i="1"/>
  <c r="R39" i="1" s="1"/>
  <c r="N39" i="1"/>
  <c r="O39" i="1" s="1"/>
  <c r="K39" i="1"/>
  <c r="L39" i="1" s="1"/>
  <c r="H39" i="1"/>
  <c r="I39" i="1" s="1"/>
  <c r="T38" i="1"/>
  <c r="U38" i="1" s="1"/>
  <c r="Q38" i="1"/>
  <c r="R38" i="1" s="1"/>
  <c r="N38" i="1"/>
  <c r="O38" i="1" s="1"/>
  <c r="K38" i="1"/>
  <c r="L38" i="1" s="1"/>
  <c r="H38" i="1"/>
  <c r="I38" i="1" s="1"/>
  <c r="T37" i="1"/>
  <c r="U37" i="1" s="1"/>
  <c r="Q37" i="1"/>
  <c r="R37" i="1" s="1"/>
  <c r="N37" i="1"/>
  <c r="O37" i="1" s="1"/>
  <c r="K37" i="1"/>
  <c r="L37" i="1" s="1"/>
  <c r="H37" i="1"/>
  <c r="I37" i="1" s="1"/>
  <c r="T36" i="1"/>
  <c r="U36" i="1" s="1"/>
  <c r="Q36" i="1"/>
  <c r="R36" i="1" s="1"/>
  <c r="N36" i="1"/>
  <c r="O36" i="1" s="1"/>
  <c r="K36" i="1"/>
  <c r="L36" i="1" s="1"/>
  <c r="H36" i="1"/>
  <c r="I36" i="1" s="1"/>
  <c r="T35" i="1"/>
  <c r="U35" i="1" s="1"/>
  <c r="Q35" i="1"/>
  <c r="R35" i="1" s="1"/>
  <c r="N35" i="1"/>
  <c r="O35" i="1" s="1"/>
  <c r="K35" i="1"/>
  <c r="L35" i="1" s="1"/>
  <c r="H35" i="1"/>
  <c r="I35" i="1" s="1"/>
  <c r="S32" i="1"/>
  <c r="T32" i="1" s="1"/>
  <c r="U32" i="1" s="1"/>
  <c r="P32" i="1"/>
  <c r="P34" i="1" s="1"/>
  <c r="Q34" i="1" s="1"/>
  <c r="R34" i="1" s="1"/>
  <c r="M32" i="1"/>
  <c r="N32" i="1" s="1"/>
  <c r="O32" i="1" s="1"/>
  <c r="J32" i="1"/>
  <c r="K32" i="1" s="1"/>
  <c r="L32" i="1" s="1"/>
  <c r="G32" i="1"/>
  <c r="H32" i="1" s="1"/>
  <c r="I32" i="1" s="1"/>
  <c r="T29" i="1"/>
  <c r="U29" i="1" s="1"/>
  <c r="Q29" i="1"/>
  <c r="R29" i="1" s="1"/>
  <c r="N29" i="1"/>
  <c r="O29" i="1" s="1"/>
  <c r="K29" i="1"/>
  <c r="L29" i="1" s="1"/>
  <c r="H29" i="1"/>
  <c r="T28" i="1"/>
  <c r="U28" i="1" s="1"/>
  <c r="Q28" i="1"/>
  <c r="R28" i="1" s="1"/>
  <c r="N28" i="1"/>
  <c r="O28" i="1" s="1"/>
  <c r="K28" i="1"/>
  <c r="H28" i="1"/>
  <c r="I28" i="1" s="1"/>
  <c r="T27" i="1"/>
  <c r="U27" i="1" s="1"/>
  <c r="Q27" i="1"/>
  <c r="R27" i="1" s="1"/>
  <c r="N27" i="1"/>
  <c r="O27" i="1" s="1"/>
  <c r="K27" i="1"/>
  <c r="L27" i="1" s="1"/>
  <c r="H27" i="1"/>
  <c r="T26" i="1"/>
  <c r="U26" i="1" s="1"/>
  <c r="Q26" i="1"/>
  <c r="R26" i="1" s="1"/>
  <c r="N26" i="1"/>
  <c r="O26" i="1" s="1"/>
  <c r="K26" i="1"/>
  <c r="H26" i="1"/>
  <c r="I26" i="1" s="1"/>
  <c r="T25" i="1"/>
  <c r="U25" i="1" s="1"/>
  <c r="Q25" i="1"/>
  <c r="R25" i="1" s="1"/>
  <c r="N25" i="1"/>
  <c r="O25" i="1" s="1"/>
  <c r="K25" i="1"/>
  <c r="L25" i="1" s="1"/>
  <c r="H25" i="1"/>
  <c r="S22" i="1"/>
  <c r="T22" i="1" s="1"/>
  <c r="U22" i="1" s="1"/>
  <c r="P22" i="1"/>
  <c r="P30" i="1" s="1"/>
  <c r="M22" i="1"/>
  <c r="M30" i="1" s="1"/>
  <c r="N30" i="1" s="1"/>
  <c r="O30" i="1" s="1"/>
  <c r="J22" i="1"/>
  <c r="J24" i="1" s="1"/>
  <c r="K24" i="1" s="1"/>
  <c r="L24" i="1" s="1"/>
  <c r="G22" i="1"/>
  <c r="H22" i="1" s="1"/>
  <c r="S20" i="1"/>
  <c r="T20" i="1" s="1"/>
  <c r="U20" i="1" s="1"/>
  <c r="P20" i="1"/>
  <c r="Q20" i="1" s="1"/>
  <c r="R20" i="1" s="1"/>
  <c r="M20" i="1"/>
  <c r="N20" i="1" s="1"/>
  <c r="O20" i="1" s="1"/>
  <c r="J20" i="1"/>
  <c r="K20" i="1" s="1"/>
  <c r="L20" i="1" s="1"/>
  <c r="G20" i="1"/>
  <c r="H20" i="1" s="1"/>
  <c r="T19" i="1"/>
  <c r="U19" i="1" s="1"/>
  <c r="Q19" i="1"/>
  <c r="R19" i="1" s="1"/>
  <c r="M19" i="1"/>
  <c r="N19" i="1" s="1"/>
  <c r="O19" i="1" s="1"/>
  <c r="J19" i="1"/>
  <c r="K19" i="1" s="1"/>
  <c r="L19" i="1" s="1"/>
  <c r="G19" i="1"/>
  <c r="H19" i="1" s="1"/>
  <c r="S18" i="1"/>
  <c r="T18" i="1" s="1"/>
  <c r="U18" i="1" s="1"/>
  <c r="P18" i="1"/>
  <c r="Q18" i="1" s="1"/>
  <c r="R18" i="1" s="1"/>
  <c r="M18" i="1"/>
  <c r="N18" i="1" s="1"/>
  <c r="O18" i="1" s="1"/>
  <c r="J18" i="1"/>
  <c r="K18" i="1" s="1"/>
  <c r="G18" i="1"/>
  <c r="H18" i="1" s="1"/>
  <c r="I18" i="1" s="1"/>
  <c r="S17" i="1"/>
  <c r="P17" i="1"/>
  <c r="Q17" i="1" s="1"/>
  <c r="R17" i="1" s="1"/>
  <c r="M17" i="1"/>
  <c r="J17" i="1"/>
  <c r="G17" i="1"/>
  <c r="S16" i="1"/>
  <c r="T16" i="1" s="1"/>
  <c r="U16" i="1" s="1"/>
  <c r="P16" i="1"/>
  <c r="Q16" i="1" s="1"/>
  <c r="R16" i="1" s="1"/>
  <c r="M16" i="1"/>
  <c r="N16" i="1" s="1"/>
  <c r="O16" i="1" s="1"/>
  <c r="J16" i="1"/>
  <c r="K16" i="1" s="1"/>
  <c r="L16" i="1" s="1"/>
  <c r="G16" i="1"/>
  <c r="H16" i="1" s="1"/>
  <c r="T13" i="1"/>
  <c r="U13" i="1" s="1"/>
  <c r="Q13" i="1"/>
  <c r="R13" i="1" s="1"/>
  <c r="N13" i="1"/>
  <c r="O13" i="1" s="1"/>
  <c r="K13" i="1"/>
  <c r="L13" i="1" s="1"/>
  <c r="H13" i="1"/>
  <c r="I13" i="1" s="1"/>
  <c r="T12" i="1"/>
  <c r="U12" i="1" s="1"/>
  <c r="Q12" i="1"/>
  <c r="R12" i="1" s="1"/>
  <c r="N12" i="1"/>
  <c r="O12" i="1" s="1"/>
  <c r="K12" i="1"/>
  <c r="L12" i="1" s="1"/>
  <c r="H12" i="1"/>
  <c r="I12" i="1" s="1"/>
  <c r="T11" i="1"/>
  <c r="U11" i="1" s="1"/>
  <c r="Q11" i="1"/>
  <c r="R11" i="1" s="1"/>
  <c r="N11" i="1"/>
  <c r="O11" i="1" s="1"/>
  <c r="K11" i="1"/>
  <c r="L11" i="1" s="1"/>
  <c r="H11" i="1"/>
  <c r="I11" i="1" s="1"/>
  <c r="T10" i="1"/>
  <c r="U10" i="1" s="1"/>
  <c r="Q10" i="1"/>
  <c r="R10" i="1" s="1"/>
  <c r="N10" i="1"/>
  <c r="O10" i="1" s="1"/>
  <c r="K10" i="1"/>
  <c r="L10" i="1" s="1"/>
  <c r="H10" i="1"/>
  <c r="I10" i="1" s="1"/>
  <c r="T9" i="1"/>
  <c r="U9" i="1" s="1"/>
  <c r="Q9" i="1"/>
  <c r="R9" i="1" s="1"/>
  <c r="N9" i="1"/>
  <c r="O9" i="1" s="1"/>
  <c r="K9" i="1"/>
  <c r="L9" i="1" s="1"/>
  <c r="H9" i="1"/>
  <c r="S6" i="1"/>
  <c r="T6" i="1" s="1"/>
  <c r="U6" i="1" s="1"/>
  <c r="P6" i="1"/>
  <c r="P8" i="1" s="1"/>
  <c r="Q8" i="1" s="1"/>
  <c r="R8" i="1" s="1"/>
  <c r="M6" i="1"/>
  <c r="M8" i="1" s="1"/>
  <c r="N8" i="1" s="1"/>
  <c r="O8" i="1" s="1"/>
  <c r="J6" i="1"/>
  <c r="G6" i="1"/>
  <c r="H6" i="1" s="1"/>
  <c r="I6" i="1" s="1"/>
  <c r="V4" i="1"/>
  <c r="X6" i="2"/>
  <c r="S6" i="2"/>
  <c r="N6" i="2"/>
  <c r="I6" i="2"/>
  <c r="D6" i="2"/>
  <c r="AC5" i="2"/>
  <c r="AC4" i="2"/>
  <c r="AC6" i="2" l="1"/>
  <c r="P23" i="1"/>
  <c r="Q23" i="1" s="1"/>
  <c r="R23" i="1" s="1"/>
  <c r="G69" i="1"/>
  <c r="H69" i="1" s="1"/>
  <c r="I69" i="1" s="1"/>
  <c r="V25" i="1"/>
  <c r="W25" i="1" s="1"/>
  <c r="J34" i="1"/>
  <c r="K34" i="1" s="1"/>
  <c r="L34" i="1" s="1"/>
  <c r="S69" i="1"/>
  <c r="T69" i="1" s="1"/>
  <c r="U69" i="1" s="1"/>
  <c r="Q22" i="1"/>
  <c r="R22" i="1" s="1"/>
  <c r="J58" i="1"/>
  <c r="K58" i="1" s="1"/>
  <c r="L58" i="1" s="1"/>
  <c r="S30" i="1"/>
  <c r="T30" i="1" s="1"/>
  <c r="U30" i="1" s="1"/>
  <c r="S47" i="1"/>
  <c r="S65" i="1"/>
  <c r="T65" i="1" s="1"/>
  <c r="U65" i="1" s="1"/>
  <c r="S23" i="1"/>
  <c r="V29" i="1"/>
  <c r="W29" i="1" s="1"/>
  <c r="G34" i="1"/>
  <c r="H34" i="1" s="1"/>
  <c r="P58" i="1"/>
  <c r="Q58" i="1" s="1"/>
  <c r="R58" i="1" s="1"/>
  <c r="J21" i="1"/>
  <c r="J43" i="1" s="1"/>
  <c r="K43" i="1" s="1"/>
  <c r="L43" i="1" s="1"/>
  <c r="N22" i="1"/>
  <c r="O22" i="1" s="1"/>
  <c r="M24" i="1"/>
  <c r="N24" i="1" s="1"/>
  <c r="O24" i="1" s="1"/>
  <c r="V27" i="1"/>
  <c r="W27" i="1" s="1"/>
  <c r="Q32" i="1"/>
  <c r="R32" i="1" s="1"/>
  <c r="S34" i="1"/>
  <c r="T34" i="1" s="1"/>
  <c r="U34" i="1" s="1"/>
  <c r="M47" i="1"/>
  <c r="T42" i="1"/>
  <c r="U42" i="1" s="1"/>
  <c r="N6" i="1"/>
  <c r="O6" i="1" s="1"/>
  <c r="V18" i="1"/>
  <c r="W18" i="1" s="1"/>
  <c r="G23" i="1"/>
  <c r="H23" i="1" s="1"/>
  <c r="S24" i="1"/>
  <c r="T24" i="1" s="1"/>
  <c r="U24" i="1" s="1"/>
  <c r="G30" i="1"/>
  <c r="H30" i="1" s="1"/>
  <c r="I22" i="1"/>
  <c r="Q47" i="1"/>
  <c r="I57" i="1"/>
  <c r="I59" i="1" s="1"/>
  <c r="V16" i="1"/>
  <c r="W16" i="1" s="1"/>
  <c r="G7" i="1"/>
  <c r="H7" i="1" s="1"/>
  <c r="M7" i="1"/>
  <c r="N7" i="1" s="1"/>
  <c r="O7" i="1" s="1"/>
  <c r="V9" i="1"/>
  <c r="W9" i="1" s="1"/>
  <c r="K17" i="1"/>
  <c r="L17" i="1" s="1"/>
  <c r="L18" i="1"/>
  <c r="V20" i="1"/>
  <c r="W20" i="1" s="1"/>
  <c r="K22" i="1"/>
  <c r="L22" i="1" s="1"/>
  <c r="J23" i="1"/>
  <c r="K23" i="1" s="1"/>
  <c r="L23" i="1" s="1"/>
  <c r="G24" i="1"/>
  <c r="H24" i="1" s="1"/>
  <c r="I25" i="1"/>
  <c r="I27" i="1"/>
  <c r="I29" i="1"/>
  <c r="J30" i="1"/>
  <c r="M34" i="1"/>
  <c r="N34" i="1" s="1"/>
  <c r="O34" i="1" s="1"/>
  <c r="V38" i="1"/>
  <c r="W38" i="1" s="1"/>
  <c r="S40" i="1"/>
  <c r="T40" i="1" s="1"/>
  <c r="U40" i="1" s="1"/>
  <c r="N42" i="1"/>
  <c r="O42" i="1" s="1"/>
  <c r="R42" i="1"/>
  <c r="R47" i="1" s="1"/>
  <c r="Q59" i="1"/>
  <c r="K57" i="1"/>
  <c r="L57" i="1" s="1"/>
  <c r="G58" i="1"/>
  <c r="H58" i="1" s="1"/>
  <c r="I58" i="1" s="1"/>
  <c r="M58" i="1"/>
  <c r="N58" i="1" s="1"/>
  <c r="O58" i="1" s="1"/>
  <c r="S58" i="1"/>
  <c r="T58" i="1" s="1"/>
  <c r="U58" i="1" s="1"/>
  <c r="J65" i="1"/>
  <c r="K65" i="1" s="1"/>
  <c r="L65" i="1" s="1"/>
  <c r="S7" i="1"/>
  <c r="T7" i="1" s="1"/>
  <c r="U7" i="1" s="1"/>
  <c r="I9" i="1"/>
  <c r="V12" i="1"/>
  <c r="W12" i="1" s="1"/>
  <c r="M23" i="1"/>
  <c r="N23" i="1" s="1"/>
  <c r="O23" i="1" s="1"/>
  <c r="P24" i="1"/>
  <c r="Q24" i="1" s="1"/>
  <c r="R24" i="1" s="1"/>
  <c r="V36" i="1"/>
  <c r="W36" i="1" s="1"/>
  <c r="R55" i="1"/>
  <c r="R59" i="1" s="1"/>
  <c r="M65" i="1"/>
  <c r="N65" i="1" s="1"/>
  <c r="O65" i="1" s="1"/>
  <c r="J69" i="1"/>
  <c r="K69" i="1" s="1"/>
  <c r="L69" i="1" s="1"/>
  <c r="P69" i="1"/>
  <c r="Q69" i="1" s="1"/>
  <c r="R69" i="1" s="1"/>
  <c r="V51" i="1"/>
  <c r="W51" i="1" s="1"/>
  <c r="O59" i="1"/>
  <c r="G65" i="1"/>
  <c r="H65" i="1" s="1"/>
  <c r="M69" i="1"/>
  <c r="V13" i="1"/>
  <c r="W13" i="1" s="1"/>
  <c r="G21" i="1"/>
  <c r="G43" i="1" s="1"/>
  <c r="N59" i="1"/>
  <c r="T59" i="1"/>
  <c r="P65" i="1"/>
  <c r="Q65" i="1" s="1"/>
  <c r="R65" i="1" s="1"/>
  <c r="I19" i="1"/>
  <c r="V19" i="1"/>
  <c r="W19" i="1" s="1"/>
  <c r="L45" i="1"/>
  <c r="L47" i="1" s="1"/>
  <c r="K47" i="1"/>
  <c r="I48" i="1"/>
  <c r="V48" i="1"/>
  <c r="W48" i="1" s="1"/>
  <c r="I50" i="1"/>
  <c r="V50" i="1"/>
  <c r="W50" i="1" s="1"/>
  <c r="H56" i="1"/>
  <c r="T56" i="1"/>
  <c r="U56" i="1" s="1"/>
  <c r="K6" i="1"/>
  <c r="J7" i="1"/>
  <c r="G14" i="1"/>
  <c r="S14" i="1"/>
  <c r="N17" i="1"/>
  <c r="O17" i="1" s="1"/>
  <c r="P21" i="1"/>
  <c r="J40" i="1"/>
  <c r="J33" i="1"/>
  <c r="P40" i="1"/>
  <c r="P33" i="1"/>
  <c r="V37" i="1"/>
  <c r="W37" i="1" s="1"/>
  <c r="V45" i="1"/>
  <c r="W45" i="1" s="1"/>
  <c r="V55" i="1"/>
  <c r="W55" i="1" s="1"/>
  <c r="K56" i="1"/>
  <c r="L56" i="1" s="1"/>
  <c r="J14" i="1"/>
  <c r="J8" i="1"/>
  <c r="V11" i="1"/>
  <c r="W11" i="1" s="1"/>
  <c r="P14" i="1"/>
  <c r="I20" i="1"/>
  <c r="H44" i="1"/>
  <c r="I52" i="1"/>
  <c r="V52" i="1"/>
  <c r="W52" i="1" s="1"/>
  <c r="N56" i="1"/>
  <c r="O56" i="1" s="1"/>
  <c r="Q6" i="1"/>
  <c r="R6" i="1" s="1"/>
  <c r="P7" i="1"/>
  <c r="G8" i="1"/>
  <c r="S8" i="1"/>
  <c r="V10" i="1"/>
  <c r="W10" i="1" s="1"/>
  <c r="M14" i="1"/>
  <c r="I16" i="1"/>
  <c r="H17" i="1"/>
  <c r="T17" i="1"/>
  <c r="U17" i="1" s="1"/>
  <c r="M21" i="1"/>
  <c r="S21" i="1"/>
  <c r="L26" i="1"/>
  <c r="V26" i="1"/>
  <c r="W26" i="1" s="1"/>
  <c r="L28" i="1"/>
  <c r="V28" i="1"/>
  <c r="W28" i="1" s="1"/>
  <c r="Q30" i="1"/>
  <c r="R30" i="1" s="1"/>
  <c r="G40" i="1"/>
  <c r="G33" i="1"/>
  <c r="M40" i="1"/>
  <c r="M33" i="1"/>
  <c r="S33" i="1"/>
  <c r="V35" i="1"/>
  <c r="W35" i="1" s="1"/>
  <c r="V39" i="1"/>
  <c r="W39" i="1" s="1"/>
  <c r="N44" i="1"/>
  <c r="O44" i="1" s="1"/>
  <c r="T44" i="1"/>
  <c r="G47" i="1"/>
  <c r="V49" i="1"/>
  <c r="W49" i="1" s="1"/>
  <c r="U55" i="1"/>
  <c r="U59" i="1" s="1"/>
  <c r="Q56" i="1"/>
  <c r="R56" i="1" s="1"/>
  <c r="G53" i="1"/>
  <c r="J53" i="1"/>
  <c r="M53" i="1"/>
  <c r="P53" i="1"/>
  <c r="S53" i="1"/>
  <c r="P47" i="1"/>
  <c r="L61" i="1"/>
  <c r="V61" i="1"/>
  <c r="W61" i="1" s="1"/>
  <c r="L63" i="1"/>
  <c r="V63" i="1"/>
  <c r="W63" i="1" s="1"/>
  <c r="V68" i="1"/>
  <c r="W68" i="1" s="1"/>
  <c r="J47" i="1"/>
  <c r="L55" i="1"/>
  <c r="V60" i="1"/>
  <c r="W60" i="1" s="1"/>
  <c r="V62" i="1"/>
  <c r="W62" i="1" s="1"/>
  <c r="V64" i="1"/>
  <c r="W64" i="1" s="1"/>
  <c r="G59" i="1"/>
  <c r="J59" i="1"/>
  <c r="M59" i="1"/>
  <c r="P59" i="1"/>
  <c r="S59" i="1"/>
  <c r="G46" i="1"/>
  <c r="J46" i="1"/>
  <c r="M46" i="1"/>
  <c r="P46" i="1"/>
  <c r="S46" i="1"/>
  <c r="N69" i="1" l="1"/>
  <c r="O69" i="1" s="1"/>
  <c r="M70" i="1"/>
  <c r="M71" i="1" s="1"/>
  <c r="P41" i="1"/>
  <c r="M31" i="1"/>
  <c r="N31" i="1" s="1"/>
  <c r="O31" i="1" s="1"/>
  <c r="S31" i="1"/>
  <c r="O47" i="1"/>
  <c r="K21" i="1"/>
  <c r="L21" i="1" s="1"/>
  <c r="T23" i="1"/>
  <c r="U23" i="1" s="1"/>
  <c r="G41" i="1"/>
  <c r="V69" i="1"/>
  <c r="W69" i="1" s="1"/>
  <c r="M66" i="1"/>
  <c r="N66" i="1" s="1"/>
  <c r="O66" i="1" s="1"/>
  <c r="V57" i="1"/>
  <c r="W57" i="1" s="1"/>
  <c r="W59" i="1" s="1"/>
  <c r="L59" i="1"/>
  <c r="G31" i="1"/>
  <c r="S41" i="1"/>
  <c r="T41" i="1" s="1"/>
  <c r="U41" i="1" s="1"/>
  <c r="V32" i="1"/>
  <c r="W32" i="1" s="1"/>
  <c r="H21" i="1"/>
  <c r="I21" i="1" s="1"/>
  <c r="K59" i="1"/>
  <c r="V22" i="1"/>
  <c r="W22" i="1" s="1"/>
  <c r="M15" i="1"/>
  <c r="N15" i="1" s="1"/>
  <c r="O15" i="1" s="1"/>
  <c r="J31" i="1"/>
  <c r="V24" i="1"/>
  <c r="W24" i="1" s="1"/>
  <c r="V58" i="1"/>
  <c r="W58" i="1" s="1"/>
  <c r="G66" i="1"/>
  <c r="H66" i="1" s="1"/>
  <c r="K30" i="1"/>
  <c r="L30" i="1" s="1"/>
  <c r="P15" i="1"/>
  <c r="Q15" i="1" s="1"/>
  <c r="R15" i="1" s="1"/>
  <c r="I24" i="1"/>
  <c r="N47" i="1"/>
  <c r="P31" i="1"/>
  <c r="Q31" i="1" s="1"/>
  <c r="R31" i="1" s="1"/>
  <c r="G15" i="1"/>
  <c r="H15" i="1" s="1"/>
  <c r="J54" i="1"/>
  <c r="K54" i="1" s="1"/>
  <c r="L54" i="1" s="1"/>
  <c r="V42" i="1"/>
  <c r="W42" i="1" s="1"/>
  <c r="N40" i="1"/>
  <c r="O40" i="1" s="1"/>
  <c r="H41" i="1"/>
  <c r="T8" i="1"/>
  <c r="U8" i="1" s="1"/>
  <c r="I7" i="1"/>
  <c r="K14" i="1"/>
  <c r="L14" i="1" s="1"/>
  <c r="I65" i="1"/>
  <c r="V65" i="1"/>
  <c r="W65" i="1" s="1"/>
  <c r="I30" i="1"/>
  <c r="V30" i="1"/>
  <c r="W30" i="1" s="1"/>
  <c r="P43" i="1"/>
  <c r="Q21" i="1"/>
  <c r="R21" i="1" s="1"/>
  <c r="J15" i="1"/>
  <c r="J66" i="1"/>
  <c r="K7" i="1"/>
  <c r="L7" i="1" s="1"/>
  <c r="I56" i="1"/>
  <c r="V56" i="1"/>
  <c r="W56" i="1" s="1"/>
  <c r="N46" i="1"/>
  <c r="O46" i="1" s="1"/>
  <c r="N53" i="1"/>
  <c r="O53" i="1" s="1"/>
  <c r="H47" i="1"/>
  <c r="I34" i="1"/>
  <c r="V34" i="1"/>
  <c r="W34" i="1" s="1"/>
  <c r="S43" i="1"/>
  <c r="T21" i="1"/>
  <c r="U21" i="1" s="1"/>
  <c r="H8" i="1"/>
  <c r="V44" i="1"/>
  <c r="W44" i="1" s="1"/>
  <c r="I44" i="1"/>
  <c r="I47" i="1" s="1"/>
  <c r="S15" i="1"/>
  <c r="K8" i="1"/>
  <c r="L8" i="1" s="1"/>
  <c r="K33" i="1"/>
  <c r="L33" i="1" s="1"/>
  <c r="J41" i="1"/>
  <c r="T14" i="1"/>
  <c r="U14" i="1" s="1"/>
  <c r="T31" i="1"/>
  <c r="U31" i="1" s="1"/>
  <c r="H31" i="1"/>
  <c r="Q46" i="1"/>
  <c r="R46" i="1" s="1"/>
  <c r="Q53" i="1"/>
  <c r="R53" i="1" s="1"/>
  <c r="Q41" i="1"/>
  <c r="R41" i="1" s="1"/>
  <c r="K46" i="1"/>
  <c r="L46" i="1" s="1"/>
  <c r="H59" i="1"/>
  <c r="K53" i="1"/>
  <c r="L53" i="1" s="1"/>
  <c r="M41" i="1"/>
  <c r="H33" i="1"/>
  <c r="M43" i="1"/>
  <c r="N21" i="1"/>
  <c r="O21" i="1" s="1"/>
  <c r="N14" i="1"/>
  <c r="O14" i="1" s="1"/>
  <c r="Q33" i="1"/>
  <c r="R33" i="1" s="1"/>
  <c r="K40" i="1"/>
  <c r="L40" i="1" s="1"/>
  <c r="H14" i="1"/>
  <c r="L6" i="1"/>
  <c r="W6" i="1"/>
  <c r="T46" i="1"/>
  <c r="U46" i="1" s="1"/>
  <c r="H46" i="1"/>
  <c r="T53" i="1"/>
  <c r="U53" i="1" s="1"/>
  <c r="H53" i="1"/>
  <c r="T47" i="1"/>
  <c r="U44" i="1"/>
  <c r="U47" i="1" s="1"/>
  <c r="T33" i="1"/>
  <c r="U33" i="1" s="1"/>
  <c r="N33" i="1"/>
  <c r="O33" i="1" s="1"/>
  <c r="H40" i="1"/>
  <c r="I17" i="1"/>
  <c r="V17" i="1"/>
  <c r="W17" i="1" s="1"/>
  <c r="P66" i="1"/>
  <c r="P67" i="1" s="1"/>
  <c r="Q7" i="1"/>
  <c r="R7" i="1" s="1"/>
  <c r="K31" i="1"/>
  <c r="L31" i="1" s="1"/>
  <c r="Q14" i="1"/>
  <c r="R14" i="1" s="1"/>
  <c r="S66" i="1"/>
  <c r="Q40" i="1"/>
  <c r="R40" i="1" s="1"/>
  <c r="I23" i="1"/>
  <c r="G54" i="1"/>
  <c r="H43" i="1"/>
  <c r="M67" i="1" l="1"/>
  <c r="N67" i="1" s="1"/>
  <c r="V23" i="1"/>
  <c r="W23" i="1" s="1"/>
  <c r="V59" i="1"/>
  <c r="G67" i="1"/>
  <c r="H67" i="1" s="1"/>
  <c r="V7" i="1"/>
  <c r="W7" i="1" s="1"/>
  <c r="Q67" i="1"/>
  <c r="N41" i="1"/>
  <c r="O41" i="1" s="1"/>
  <c r="V31" i="1"/>
  <c r="W31" i="1" s="1"/>
  <c r="I31" i="1"/>
  <c r="T15" i="1"/>
  <c r="U15" i="1" s="1"/>
  <c r="W47" i="1"/>
  <c r="H54" i="1"/>
  <c r="T66" i="1"/>
  <c r="U66" i="1" s="1"/>
  <c r="V46" i="1"/>
  <c r="W46" i="1" s="1"/>
  <c r="I46" i="1"/>
  <c r="V21" i="1"/>
  <c r="W21" i="1" s="1"/>
  <c r="M54" i="1"/>
  <c r="N43" i="1"/>
  <c r="O43" i="1" s="1"/>
  <c r="K41" i="1"/>
  <c r="L41" i="1" s="1"/>
  <c r="Q43" i="1"/>
  <c r="R43" i="1" s="1"/>
  <c r="P54" i="1"/>
  <c r="S67" i="1"/>
  <c r="I66" i="1"/>
  <c r="I43" i="1"/>
  <c r="Q66" i="1"/>
  <c r="R66" i="1" s="1"/>
  <c r="V40" i="1"/>
  <c r="W40" i="1" s="1"/>
  <c r="I40" i="1"/>
  <c r="V53" i="1"/>
  <c r="W53" i="1" s="1"/>
  <c r="I53" i="1"/>
  <c r="I15" i="1"/>
  <c r="I8" i="1"/>
  <c r="V8" i="1"/>
  <c r="W8" i="1" s="1"/>
  <c r="S54" i="1"/>
  <c r="T43" i="1"/>
  <c r="U43" i="1" s="1"/>
  <c r="K66" i="1"/>
  <c r="L66" i="1" s="1"/>
  <c r="J67" i="1"/>
  <c r="I41" i="1"/>
  <c r="I14" i="1"/>
  <c r="V14" i="1"/>
  <c r="W14" i="1" s="1"/>
  <c r="V33" i="1"/>
  <c r="W33" i="1" s="1"/>
  <c r="I33" i="1"/>
  <c r="V47" i="1"/>
  <c r="K15" i="1"/>
  <c r="L15" i="1" s="1"/>
  <c r="V41" i="1" l="1"/>
  <c r="W41" i="1" s="1"/>
  <c r="G70" i="1"/>
  <c r="G71" i="1" s="1"/>
  <c r="J70" i="1"/>
  <c r="J71" i="1" s="1"/>
  <c r="K67" i="1"/>
  <c r="T54" i="1"/>
  <c r="U54" i="1" s="1"/>
  <c r="V15" i="1"/>
  <c r="W15" i="1" s="1"/>
  <c r="Q54" i="1"/>
  <c r="R54" i="1" s="1"/>
  <c r="I54" i="1"/>
  <c r="P70" i="1"/>
  <c r="P71" i="1" s="1"/>
  <c r="V66" i="1"/>
  <c r="W66" i="1" s="1"/>
  <c r="N54" i="1"/>
  <c r="O54" i="1" s="1"/>
  <c r="O67" i="1"/>
  <c r="R67" i="1"/>
  <c r="V43" i="1"/>
  <c r="W43" i="1" s="1"/>
  <c r="T67" i="1"/>
  <c r="S70" i="1"/>
  <c r="S71" i="1" s="1"/>
  <c r="I67" i="1"/>
  <c r="H70" i="1"/>
  <c r="H71" i="1" s="1"/>
  <c r="N70" i="1" l="1"/>
  <c r="R70" i="1"/>
  <c r="O70" i="1"/>
  <c r="G72" i="1"/>
  <c r="G78" i="1" s="1"/>
  <c r="I70" i="1"/>
  <c r="I71" i="1" s="1"/>
  <c r="H72" i="1"/>
  <c r="H78" i="1" s="1"/>
  <c r="U67" i="1"/>
  <c r="U70" i="1" s="1"/>
  <c r="U71" i="1" s="1"/>
  <c r="T70" i="1"/>
  <c r="T71" i="1" s="1"/>
  <c r="Q70" i="1"/>
  <c r="Q71" i="1" s="1"/>
  <c r="L67" i="1"/>
  <c r="L70" i="1" s="1"/>
  <c r="L71" i="1" s="1"/>
  <c r="K70" i="1"/>
  <c r="K71" i="1" s="1"/>
  <c r="M72" i="1"/>
  <c r="M78" i="1" s="1"/>
  <c r="V67" i="1"/>
  <c r="V54" i="1"/>
  <c r="W54" i="1" s="1"/>
  <c r="N71" i="1" l="1"/>
  <c r="V71" i="1" s="1"/>
  <c r="O71" i="1"/>
  <c r="O72" i="1" s="1"/>
  <c r="O78" i="1" s="1"/>
  <c r="O79" i="1" s="1"/>
  <c r="O73" i="1" s="1"/>
  <c r="R71" i="1"/>
  <c r="R72" i="1" s="1"/>
  <c r="R78" i="1" s="1"/>
  <c r="R79" i="1" s="1"/>
  <c r="I72" i="1"/>
  <c r="I78" i="1" s="1"/>
  <c r="P72" i="1"/>
  <c r="P78" i="1" s="1"/>
  <c r="S72" i="1"/>
  <c r="S78" i="1" s="1"/>
  <c r="J72" i="1"/>
  <c r="J78" i="1" s="1"/>
  <c r="T72" i="1"/>
  <c r="T78" i="1" s="1"/>
  <c r="W67" i="1"/>
  <c r="V70" i="1"/>
  <c r="K72" i="1"/>
  <c r="K78" i="1" s="1"/>
  <c r="U72" i="1"/>
  <c r="L72" i="1"/>
  <c r="L78" i="1" s="1"/>
  <c r="Q72" i="1"/>
  <c r="Q78" i="1" s="1"/>
  <c r="H79" i="1"/>
  <c r="H73" i="1" s="1"/>
  <c r="N72" i="1" l="1"/>
  <c r="N78" i="1" s="1"/>
  <c r="N79" i="1" s="1"/>
  <c r="V78" i="1"/>
  <c r="V79" i="1" s="1"/>
  <c r="U78" i="1"/>
  <c r="U79" i="1" s="1"/>
  <c r="R73" i="1"/>
  <c r="R75" i="1"/>
  <c r="R74" i="1"/>
  <c r="H75" i="1"/>
  <c r="I79" i="1"/>
  <c r="I73" i="1" s="1"/>
  <c r="G79" i="1"/>
  <c r="K79" i="1"/>
  <c r="K74" i="1" s="1"/>
  <c r="M79" i="1"/>
  <c r="O75" i="1"/>
  <c r="Q79" i="1"/>
  <c r="Q73" i="1" s="1"/>
  <c r="H74" i="1"/>
  <c r="T79" i="1"/>
  <c r="L79" i="1"/>
  <c r="L73" i="1" s="1"/>
  <c r="W70" i="1"/>
  <c r="O74" i="1"/>
  <c r="N74" i="1" l="1"/>
  <c r="N73" i="1"/>
  <c r="N75" i="1"/>
  <c r="U74" i="1"/>
  <c r="U75" i="1"/>
  <c r="U73" i="1"/>
  <c r="W76" i="1"/>
  <c r="R77" i="1"/>
  <c r="R80" i="1" s="1"/>
  <c r="R81" i="1" s="1"/>
  <c r="R82" i="1" s="1"/>
  <c r="R83" i="1" s="1"/>
  <c r="H77" i="1"/>
  <c r="H80" i="1" s="1"/>
  <c r="H81" i="1" s="1"/>
  <c r="O77" i="1"/>
  <c r="O80" i="1" s="1"/>
  <c r="O81" i="1" s="1"/>
  <c r="O82" i="1" s="1"/>
  <c r="O83" i="1" s="1"/>
  <c r="I74" i="1"/>
  <c r="I75" i="1"/>
  <c r="K73" i="1"/>
  <c r="K75" i="1"/>
  <c r="L75" i="1"/>
  <c r="S79" i="1"/>
  <c r="Q74" i="1"/>
  <c r="L74" i="1"/>
  <c r="T73" i="1"/>
  <c r="T74" i="1"/>
  <c r="T75" i="1"/>
  <c r="P79" i="1"/>
  <c r="M74" i="1"/>
  <c r="M75" i="1"/>
  <c r="M73" i="1"/>
  <c r="G74" i="1"/>
  <c r="G75" i="1"/>
  <c r="G73" i="1"/>
  <c r="V72" i="1"/>
  <c r="W71" i="1"/>
  <c r="Q75" i="1"/>
  <c r="J79" i="1"/>
  <c r="N77" i="1" l="1"/>
  <c r="N80" i="1" s="1"/>
  <c r="N81" i="1" s="1"/>
  <c r="N82" i="1" s="1"/>
  <c r="N83" i="1" s="1"/>
  <c r="L77" i="1"/>
  <c r="L80" i="1" s="1"/>
  <c r="L81" i="1" s="1"/>
  <c r="L82" i="1" s="1"/>
  <c r="L83" i="1" s="1"/>
  <c r="V73" i="1"/>
  <c r="V75" i="1"/>
  <c r="V74" i="1"/>
  <c r="U77" i="1"/>
  <c r="U80" i="1" s="1"/>
  <c r="U81" i="1" s="1"/>
  <c r="U82" i="1" s="1"/>
  <c r="H82" i="1"/>
  <c r="H83" i="1" s="1"/>
  <c r="K77" i="1"/>
  <c r="K80" i="1" s="1"/>
  <c r="K81" i="1" s="1"/>
  <c r="K82" i="1" s="1"/>
  <c r="K83" i="1" s="1"/>
  <c r="I77" i="1"/>
  <c r="I80" i="1" s="1"/>
  <c r="I81" i="1" s="1"/>
  <c r="I82" i="1" s="1"/>
  <c r="I83" i="1" s="1"/>
  <c r="Q77" i="1"/>
  <c r="Q80" i="1" s="1"/>
  <c r="Q81" i="1" s="1"/>
  <c r="Q82" i="1" s="1"/>
  <c r="Q83" i="1" s="1"/>
  <c r="O84" i="1"/>
  <c r="O85" i="1" s="1"/>
  <c r="R84" i="1"/>
  <c r="R85" i="1" s="1"/>
  <c r="G77" i="1"/>
  <c r="P73" i="1"/>
  <c r="P75" i="1"/>
  <c r="P74" i="1"/>
  <c r="S74" i="1"/>
  <c r="S73" i="1"/>
  <c r="S75" i="1"/>
  <c r="T77" i="1"/>
  <c r="T80" i="1" s="1"/>
  <c r="T81" i="1" s="1"/>
  <c r="J75" i="1"/>
  <c r="J73" i="1"/>
  <c r="J74" i="1"/>
  <c r="W72" i="1"/>
  <c r="M77" i="1"/>
  <c r="N84" i="1"/>
  <c r="N85" i="1" s="1"/>
  <c r="U83" i="1" l="1"/>
  <c r="U84" i="1" s="1"/>
  <c r="H84" i="1"/>
  <c r="H85" i="1" s="1"/>
  <c r="I84" i="1"/>
  <c r="I85" i="1" s="1"/>
  <c r="L84" i="1"/>
  <c r="L85" i="1" s="1"/>
  <c r="G80" i="1"/>
  <c r="T82" i="1"/>
  <c r="T83" i="1" s="1"/>
  <c r="P77" i="1"/>
  <c r="K84" i="1"/>
  <c r="K85" i="1" s="1"/>
  <c r="Q84" i="1"/>
  <c r="Q85" i="1" s="1"/>
  <c r="M80" i="1"/>
  <c r="W78" i="1"/>
  <c r="J77" i="1"/>
  <c r="S77" i="1"/>
  <c r="U85" i="1" l="1"/>
  <c r="T84" i="1"/>
  <c r="J80" i="1"/>
  <c r="P80" i="1"/>
  <c r="G81" i="1"/>
  <c r="S80" i="1"/>
  <c r="M81" i="1"/>
  <c r="W79" i="1"/>
  <c r="W75" i="1"/>
  <c r="W74" i="1"/>
  <c r="G82" i="1" l="1"/>
  <c r="G83" i="1" s="1"/>
  <c r="G84" i="1" s="1"/>
  <c r="T85" i="1"/>
  <c r="W73" i="1"/>
  <c r="V77" i="1"/>
  <c r="J81" i="1"/>
  <c r="M82" i="1"/>
  <c r="M83" i="1" s="1"/>
  <c r="S81" i="1"/>
  <c r="P81" i="1"/>
  <c r="V85" i="1" l="1"/>
  <c r="W85" i="1" s="1"/>
  <c r="M84" i="1"/>
  <c r="M85" i="1" s="1"/>
  <c r="G85" i="1"/>
  <c r="P82" i="1"/>
  <c r="P83" i="1" s="1"/>
  <c r="J82" i="1"/>
  <c r="J83" i="1" s="1"/>
  <c r="W77" i="1"/>
  <c r="V80" i="1"/>
  <c r="S82" i="1"/>
  <c r="S83" i="1" s="1"/>
  <c r="S84" i="1" l="1"/>
  <c r="S85" i="1" s="1"/>
  <c r="J84" i="1"/>
  <c r="J85" i="1" s="1"/>
  <c r="J4" i="2" s="1"/>
  <c r="F4" i="4"/>
  <c r="O4" i="2"/>
  <c r="F2" i="4"/>
  <c r="E4" i="2"/>
  <c r="P84" i="1"/>
  <c r="P85" i="1" s="1"/>
  <c r="W80" i="1"/>
  <c r="V81" i="1"/>
  <c r="F6" i="4" l="1"/>
  <c r="Y4" i="2"/>
  <c r="F5" i="2"/>
  <c r="F4" i="2"/>
  <c r="W81" i="1"/>
  <c r="H2" i="4"/>
  <c r="G2" i="4"/>
  <c r="F5" i="4"/>
  <c r="T4" i="2"/>
  <c r="F3" i="4"/>
  <c r="P5" i="2"/>
  <c r="Q5" i="2" s="1"/>
  <c r="P4" i="2"/>
  <c r="H4" i="4"/>
  <c r="G4" i="4"/>
  <c r="H3" i="4" l="1"/>
  <c r="G3" i="4"/>
  <c r="G5" i="2"/>
  <c r="F6" i="2"/>
  <c r="G4" i="2"/>
  <c r="P6" i="2"/>
  <c r="Q4" i="2"/>
  <c r="Q6" i="2" s="1"/>
  <c r="U4" i="2"/>
  <c r="U5" i="2"/>
  <c r="V5" i="2" s="1"/>
  <c r="Z4" i="2"/>
  <c r="Z5" i="2"/>
  <c r="AA5" i="2" s="1"/>
  <c r="K4" i="2"/>
  <c r="K5" i="2"/>
  <c r="L5" i="2" s="1"/>
  <c r="H5" i="4"/>
  <c r="G5" i="4"/>
  <c r="H6" i="4"/>
  <c r="G6" i="4"/>
  <c r="AD4" i="2" l="1"/>
  <c r="AF4" i="2" s="1"/>
  <c r="H7" i="4"/>
  <c r="AD5" i="2"/>
  <c r="V4" i="2"/>
  <c r="V6" i="2" s="1"/>
  <c r="U6" i="2"/>
  <c r="G6" i="2"/>
  <c r="L4" i="2"/>
  <c r="L6" i="2" s="1"/>
  <c r="K6" i="2"/>
  <c r="Z6" i="2"/>
  <c r="AA4" i="2"/>
  <c r="AA6" i="2" s="1"/>
  <c r="AE4" i="2" l="1"/>
  <c r="AE5" i="2"/>
  <c r="AF5" i="2"/>
  <c r="AF6" i="2" s="1"/>
  <c r="AD6" i="2"/>
  <c r="AE6" i="2" l="1"/>
</calcChain>
</file>

<file path=xl/sharedStrings.xml><?xml version="1.0" encoding="utf-8"?>
<sst xmlns="http://schemas.openxmlformats.org/spreadsheetml/2006/main" count="495" uniqueCount="309">
  <si>
    <t>Descrição</t>
  </si>
  <si>
    <t>A</t>
  </si>
  <si>
    <t>Salário</t>
  </si>
  <si>
    <t>B</t>
  </si>
  <si>
    <t>C</t>
  </si>
  <si>
    <t>D</t>
  </si>
  <si>
    <t>E</t>
  </si>
  <si>
    <t>Subtotal</t>
  </si>
  <si>
    <t>F</t>
  </si>
  <si>
    <t>FGTS</t>
  </si>
  <si>
    <t>G</t>
  </si>
  <si>
    <t>H</t>
  </si>
  <si>
    <t>Previdência Social</t>
  </si>
  <si>
    <t>I</t>
  </si>
  <si>
    <t>Salário Educação</t>
  </si>
  <si>
    <t>J</t>
  </si>
  <si>
    <t>GIIL-RAT</t>
  </si>
  <si>
    <t>K</t>
  </si>
  <si>
    <t>L</t>
  </si>
  <si>
    <t>M</t>
  </si>
  <si>
    <t>N</t>
  </si>
  <si>
    <t>O</t>
  </si>
  <si>
    <t>Assistência Odontológica</t>
  </si>
  <si>
    <t>P</t>
  </si>
  <si>
    <t>Auxílio Alimentação</t>
  </si>
  <si>
    <t>Q</t>
  </si>
  <si>
    <t>Plano de Saúde</t>
  </si>
  <si>
    <t>R</t>
  </si>
  <si>
    <t>Seguro de Vida/Assistência Funeral</t>
  </si>
  <si>
    <t>Vale-transporte</t>
  </si>
  <si>
    <t>T</t>
  </si>
  <si>
    <t>U</t>
  </si>
  <si>
    <t>Rescisão de Contrato</t>
  </si>
  <si>
    <t>V</t>
  </si>
  <si>
    <t>W</t>
  </si>
  <si>
    <t>Y</t>
  </si>
  <si>
    <t>Auxiliar Administrativo</t>
  </si>
  <si>
    <t>Assistente Administrativo</t>
  </si>
  <si>
    <t>Recepcionista</t>
  </si>
  <si>
    <t>Secretário Executivo I</t>
  </si>
  <si>
    <t>Técnico em Secretariado</t>
  </si>
  <si>
    <t>13º Salário</t>
  </si>
  <si>
    <t>Aviso Prévio Indenizado</t>
  </si>
  <si>
    <t>Multa FGTS</t>
  </si>
  <si>
    <t>Z</t>
  </si>
  <si>
    <t>%</t>
  </si>
  <si>
    <t>13º Salário - Aviso Prévio Indenizado</t>
  </si>
  <si>
    <t>AA</t>
  </si>
  <si>
    <t>AB</t>
  </si>
  <si>
    <t>Grupo</t>
  </si>
  <si>
    <t>Benefícios</t>
  </si>
  <si>
    <t>Postos</t>
  </si>
  <si>
    <t>Total</t>
  </si>
  <si>
    <t>Uniforme</t>
  </si>
  <si>
    <t>AC</t>
  </si>
  <si>
    <t>AD</t>
  </si>
  <si>
    <t>Custos Indiretos</t>
  </si>
  <si>
    <t>AE</t>
  </si>
  <si>
    <t>AF</t>
  </si>
  <si>
    <t>AG</t>
  </si>
  <si>
    <t>AH</t>
  </si>
  <si>
    <t>AI</t>
  </si>
  <si>
    <t>COFINS</t>
  </si>
  <si>
    <t>PIS</t>
  </si>
  <si>
    <t>ISS</t>
  </si>
  <si>
    <t>AJ</t>
  </si>
  <si>
    <t>AK</t>
  </si>
  <si>
    <t>AL</t>
  </si>
  <si>
    <t>Lucro</t>
  </si>
  <si>
    <t>Total Geral</t>
  </si>
  <si>
    <t>CITL</t>
  </si>
  <si>
    <t>A*8%</t>
  </si>
  <si>
    <t>A*2,5%</t>
  </si>
  <si>
    <t>Férias</t>
  </si>
  <si>
    <t>Item</t>
  </si>
  <si>
    <t>Substituição Temporária</t>
  </si>
  <si>
    <t>Pagamento</t>
  </si>
  <si>
    <t>Fato Gerador</t>
  </si>
  <si>
    <t>AM</t>
  </si>
  <si>
    <t>AN</t>
  </si>
  <si>
    <t>Salário/12/28</t>
  </si>
  <si>
    <t>(Salário + Salário/3)/12/28</t>
  </si>
  <si>
    <t>Mensal</t>
  </si>
  <si>
    <t>Mensal e Fato Gerador</t>
  </si>
  <si>
    <t>AO</t>
  </si>
  <si>
    <t>AP</t>
  </si>
  <si>
    <t>Subtotal Custo Empregados</t>
  </si>
  <si>
    <t>AQ</t>
  </si>
  <si>
    <t>AR</t>
  </si>
  <si>
    <t>AS</t>
  </si>
  <si>
    <t>AT</t>
  </si>
  <si>
    <t>AU</t>
  </si>
  <si>
    <t>AV</t>
  </si>
  <si>
    <t>AW</t>
  </si>
  <si>
    <t>Subtotal CITL</t>
  </si>
  <si>
    <t>Lote</t>
  </si>
  <si>
    <t>Data Contratação</t>
  </si>
  <si>
    <t>Cargos</t>
  </si>
  <si>
    <t>HFA</t>
  </si>
  <si>
    <t>ANAC</t>
  </si>
  <si>
    <t>INCRA</t>
  </si>
  <si>
    <t>Salário/28*26</t>
  </si>
  <si>
    <t>Salário/30*70/28</t>
  </si>
  <si>
    <t>Parâmetros Cálculo Custo Mensal</t>
  </si>
  <si>
    <t>(Salário+Salário/3)/12/28</t>
  </si>
  <si>
    <t>Férias  - Aviso Prévio Indenizado</t>
  </si>
  <si>
    <t>((Salário/30*33)*21,36%)/28</t>
  </si>
  <si>
    <t>(Salário+Salário/3)/30*70/28</t>
  </si>
  <si>
    <t>AY</t>
  </si>
  <si>
    <t>AZ</t>
  </si>
  <si>
    <t>BA</t>
  </si>
  <si>
    <t>Valor (R$)</t>
  </si>
  <si>
    <t>-</t>
  </si>
  <si>
    <t>Quantidade</t>
  </si>
  <si>
    <t>SENAC</t>
  </si>
  <si>
    <t>SESC</t>
  </si>
  <si>
    <t>SEBRAE</t>
  </si>
  <si>
    <t>A*0,2%</t>
  </si>
  <si>
    <t>A*1%</t>
  </si>
  <si>
    <t>A*1,5%</t>
  </si>
  <si>
    <t>A*0,6%</t>
  </si>
  <si>
    <t>A+B+C+D+E+F+G+H+I</t>
  </si>
  <si>
    <t>K+L+M+N+O</t>
  </si>
  <si>
    <t>S</t>
  </si>
  <si>
    <t>Q*8%</t>
  </si>
  <si>
    <t>Q*0,2%</t>
  </si>
  <si>
    <t>Q*1%</t>
  </si>
  <si>
    <t>Q*1,5%</t>
  </si>
  <si>
    <t>Q*0,6%</t>
  </si>
  <si>
    <t>Q*2,5%</t>
  </si>
  <si>
    <t>Q+R+S+T+U+U+V+W+Y+Z</t>
  </si>
  <si>
    <t>AB+AC+AD+AE+AF+AG+AH+AI+AJ</t>
  </si>
  <si>
    <t>AB*8%</t>
  </si>
  <si>
    <t>AB*2,5%</t>
  </si>
  <si>
    <t>AB*O,2%</t>
  </si>
  <si>
    <t>AB*1%</t>
  </si>
  <si>
    <t>AB*1,5%</t>
  </si>
  <si>
    <t>AB*0,6%</t>
  </si>
  <si>
    <t>AL+AM+AN+AO+AP+AQ+AR+AS+AT+AU+AV+AW</t>
  </si>
  <si>
    <t>(AL+AN+AO)*8%</t>
  </si>
  <si>
    <t>(AL+AN+AO)*O,2%</t>
  </si>
  <si>
    <t>(AL+AN+AO)*1%</t>
  </si>
  <si>
    <t>(AL+AN+AO)*1,5%</t>
  </si>
  <si>
    <t>(AL+AN+AO)*0,6%</t>
  </si>
  <si>
    <t>BB</t>
  </si>
  <si>
    <t>BC</t>
  </si>
  <si>
    <t>BD</t>
  </si>
  <si>
    <t>BE</t>
  </si>
  <si>
    <t>BF</t>
  </si>
  <si>
    <t>BG</t>
  </si>
  <si>
    <t>BH</t>
  </si>
  <si>
    <t>BI</t>
  </si>
  <si>
    <t>BJ</t>
  </si>
  <si>
    <t>BK</t>
  </si>
  <si>
    <t>BL</t>
  </si>
  <si>
    <t>AZ+BA+BB+BC+BD+BE+BF+BG+BH+BI+BJ+BK</t>
  </si>
  <si>
    <t>(AZ+BB)*8%</t>
  </si>
  <si>
    <t>(AZ+BB)*2,5%</t>
  </si>
  <si>
    <t>(AZ+BB)*O,2%</t>
  </si>
  <si>
    <t>(AZ+BB)*1%</t>
  </si>
  <si>
    <t>(AZ+BB)*1,5%</t>
  </si>
  <si>
    <t>(AZ+BB)*0,6%</t>
  </si>
  <si>
    <t>BM</t>
  </si>
  <si>
    <t>BN</t>
  </si>
  <si>
    <t>BO</t>
  </si>
  <si>
    <t>BP</t>
  </si>
  <si>
    <t>BQ</t>
  </si>
  <si>
    <t>BR</t>
  </si>
  <si>
    <t>BS</t>
  </si>
  <si>
    <t>BT</t>
  </si>
  <si>
    <t>BU</t>
  </si>
  <si>
    <t>BV</t>
  </si>
  <si>
    <t>Salário/30*((26,6339 ou 28,1028)*28/12)/28</t>
  </si>
  <si>
    <t>P/30*((26,6339 ou 28,1028)*28/12)/28</t>
  </si>
  <si>
    <t>((B+R+AC+AP+BC)*40%)*85,43%</t>
  </si>
  <si>
    <t>Órgão ou Entidade</t>
  </si>
  <si>
    <t>Valor do Posto (R$)</t>
  </si>
  <si>
    <t>Unidade</t>
  </si>
  <si>
    <t>Anual                      (12 meses)</t>
  </si>
  <si>
    <t>Total                       (28 meses)</t>
  </si>
  <si>
    <t>Subtotal Mensal (R$)</t>
  </si>
  <si>
    <t>Subtotal 28 Meses (R$)</t>
  </si>
  <si>
    <t>Posto</t>
  </si>
  <si>
    <t>Valor Mensal Unitário (R$)</t>
  </si>
  <si>
    <t>Valor Mensal Total (R$)</t>
  </si>
  <si>
    <t>Valor Total (R$)</t>
  </si>
  <si>
    <t>Valor  Total (R$)</t>
  </si>
  <si>
    <t>Base Tributos * 5,00%</t>
  </si>
  <si>
    <t>Planilha de Custos e Formação de Preços</t>
  </si>
  <si>
    <t>BX</t>
  </si>
  <si>
    <t>BQ+BR+BS+BT</t>
  </si>
  <si>
    <t>(AL+AN+AO)*2,5%</t>
  </si>
  <si>
    <t>A*20%</t>
  </si>
  <si>
    <t>Q*20%</t>
  </si>
  <si>
    <t>AB*20%</t>
  </si>
  <si>
    <t>(AL+AN+AO)*20%</t>
  </si>
  <si>
    <t>(AZ+BB)*20%</t>
  </si>
  <si>
    <t>Base Tributos * 5,70%</t>
  </si>
  <si>
    <t>Base Tributos * 1,24%</t>
  </si>
  <si>
    <t>Esta Empresa é beneficiada pela Liminar nº 0801473-31.2020.4.05.8400 (ISS)</t>
  </si>
  <si>
    <t>Ao</t>
  </si>
  <si>
    <t>MINISTÉRIO DA ECONOMIA</t>
  </si>
  <si>
    <t>Secretaria Especial de Desburocratização, Gestão e Governo Digital</t>
  </si>
  <si>
    <t>Secretaria de Gestão</t>
  </si>
  <si>
    <t>Central de Compras</t>
  </si>
  <si>
    <t>Coordenação-Geral de Licitações</t>
  </si>
  <si>
    <t>Ref.: Proposta de Preços referente ao Pregão Eletrônico  Nº 10/2020</t>
  </si>
  <si>
    <t>Processo Administrativo n.º 19973.101170/2020-93</t>
  </si>
  <si>
    <t>Razão Social</t>
  </si>
  <si>
    <t>CNPJ</t>
  </si>
  <si>
    <t>Endereço</t>
  </si>
  <si>
    <t>Bairro</t>
  </si>
  <si>
    <t>Cidade</t>
  </si>
  <si>
    <t>UF</t>
  </si>
  <si>
    <t>CEP</t>
  </si>
  <si>
    <t>E-mail</t>
  </si>
  <si>
    <t>DDD/Telefone</t>
  </si>
  <si>
    <t>Quadro 2 - Dados do Representante Legal da Licitante</t>
  </si>
  <si>
    <t>Nome</t>
  </si>
  <si>
    <t>CPF/RG</t>
  </si>
  <si>
    <t>Pregão Eletrônico</t>
  </si>
  <si>
    <t>Nº 10/2020</t>
  </si>
  <si>
    <t>Data da Proposta</t>
  </si>
  <si>
    <t>60 (sessenta) dias, a contar da data de sua apresentação</t>
  </si>
  <si>
    <t>Objeto</t>
  </si>
  <si>
    <t>Contratação  para  prestação  de  serviços  de  apoio  administrativo,  recepção  e  secretariado  pelos  órgãos  e  entidades  da Administração Pública Federal - APF direta, autárquica e fundacional, no âmbito do Distrito Federal - DF, com execução realizada  mediante  alocação  pela  contratada  de  empregados  com  os  cargos  de  Auxiliar  Administrativo,  Assistente Administrativo,  Recepcionista,  Recepcionista  Bilíngue,  Secretário  Executivo  I,  Secretário  Executivo  II  e  Técnico  em Secretariado, com disponibilização de solução tecnológica para gestão e fiscalização contratual, por meio de aplicação web e aplicativo mobile, observadas as condições estabelecidas no Termo de Referência - TR.</t>
  </si>
  <si>
    <t>Quadro 4 - ACT/CCT/DCT</t>
  </si>
  <si>
    <t>Entidade Sindical da Empresa</t>
  </si>
  <si>
    <t>SINDICATO DAS EMPRESAS DE ASSEIO, CONSERVAÇÃO, TRABALHOS TEMPORÁRIOS E SERVICOS TERCEIRIZÁVEIS DO DF</t>
  </si>
  <si>
    <t>Entidade Sindical dos Empregados</t>
  </si>
  <si>
    <t>SINDICATO DOS EMPREGADOS DE EMPRESAS DE ASSEIO, CONSERVAÇÃO, TRABALHO TEMPORÁRIO, PRESTAÇÃO DE SERVIÇOS E SERVIÇOS TERCEIRIZÁVEIS DO DF-SINDISERVIÇOS/DF</t>
  </si>
  <si>
    <t>Número de Registro</t>
  </si>
  <si>
    <t>DF000001/2020  - TA DF000428/2020</t>
  </si>
  <si>
    <t>Início Vigência</t>
  </si>
  <si>
    <t>01º de janeiro de 2020</t>
  </si>
  <si>
    <t>Fim Vigência</t>
  </si>
  <si>
    <t>31 de dezembro de 2020</t>
  </si>
  <si>
    <t>DF000428/2020</t>
  </si>
  <si>
    <t>06 de julho de 2020</t>
  </si>
  <si>
    <t>SINDICATO DAS SECRETÁRIAS E DOS SECRETÁRIOS DO DF</t>
  </si>
  <si>
    <t>DF000013/2020</t>
  </si>
  <si>
    <t>Quadro 5 - Regime Tributário da Licitante</t>
  </si>
  <si>
    <t>Regime tributário</t>
  </si>
  <si>
    <t>Documento Comprobatório¹</t>
  </si>
  <si>
    <t>LUCRO REAL</t>
  </si>
  <si>
    <t>¹ Anexar documento comprobatório.</t>
  </si>
  <si>
    <t>Quadro 6 - Contribuições Sociais</t>
  </si>
  <si>
    <t>LOTE</t>
  </si>
  <si>
    <t>ITEM</t>
  </si>
  <si>
    <t>DESCRIÇÃO</t>
  </si>
  <si>
    <t>UNIDADE</t>
  </si>
  <si>
    <t>QUANTIDADE</t>
  </si>
  <si>
    <t>VALOR DO POSTO (MÊS)</t>
  </si>
  <si>
    <t>VALOR DO POSTO (28 MESES)</t>
  </si>
  <si>
    <t>VALOR GLOBAL (28 MESES)</t>
  </si>
  <si>
    <t>posto</t>
  </si>
  <si>
    <t>VALOR GLOBAL DO LOTE</t>
  </si>
  <si>
    <t>Valor Unitário</t>
  </si>
  <si>
    <t>A*3,1209%</t>
  </si>
  <si>
    <t>Q*3,1209%</t>
  </si>
  <si>
    <t>AB*3,1209%</t>
  </si>
  <si>
    <t>(AL+AN+AO)*3,1209%</t>
  </si>
  <si>
    <t>(AZ+BB)*3,1209%</t>
  </si>
  <si>
    <t xml:space="preserve"> PROPOSTA - LOTE Nº 16
Quadro 1 - Dados da Licitante</t>
  </si>
  <si>
    <t>JMT SERVIÇOS DE LOCAÇÃO DE MÃO DE OBRA LTDA</t>
  </si>
  <si>
    <t>07.442.731/0001-36</t>
  </si>
  <si>
    <t>Nsa do Nazare</t>
  </si>
  <si>
    <t>Natal</t>
  </si>
  <si>
    <t>RN</t>
  </si>
  <si>
    <t>59.062-280</t>
  </si>
  <si>
    <t>comercialjmt@uol.com.br</t>
  </si>
  <si>
    <t>(84) 3133-1250</t>
  </si>
  <si>
    <t>JONAS ALVES DA SILVA</t>
  </si>
  <si>
    <t>938.755.334-53</t>
  </si>
  <si>
    <t>Rua Paraguaçu, 114</t>
  </si>
  <si>
    <t>Gramore</t>
  </si>
  <si>
    <t>59.135-660</t>
  </si>
  <si>
    <t>jonasalves@jmtservice.com.br</t>
  </si>
  <si>
    <t>Quadro 3 - Validade da Proposta - Lote 16</t>
  </si>
  <si>
    <r>
      <t xml:space="preserve">Código </t>
    </r>
    <r>
      <rPr>
        <b/>
        <sz val="11"/>
        <rFont val="Calibri"/>
        <family val="2"/>
        <scheme val="minor"/>
      </rPr>
      <t>FPAS</t>
    </r>
  </si>
  <si>
    <r>
      <t xml:space="preserve">Índice </t>
    </r>
    <r>
      <rPr>
        <b/>
        <sz val="11"/>
        <rFont val="Calibri"/>
        <family val="2"/>
        <scheme val="minor"/>
      </rPr>
      <t>FAP¹</t>
    </r>
  </si>
  <si>
    <r>
      <rPr>
        <b/>
        <sz val="11"/>
        <rFont val="Calibri"/>
        <family val="2"/>
        <scheme val="minor"/>
      </rPr>
      <t>Contribuições Sociais (%)</t>
    </r>
  </si>
  <si>
    <t>RUA DOS POTIGUARES, 2300</t>
  </si>
  <si>
    <t xml:space="preserve">Validade da Proposta </t>
  </si>
  <si>
    <t>Categorias Vinculadas a CCT abaixo:
Auxiliar Administrativo; Assistente Administrativo; Recepcionista;</t>
  </si>
  <si>
    <t>Categorias Vinculadas a CCT abaixo:
 Secretário Executivo I e Técnico em Secretariado</t>
  </si>
  <si>
    <t>EFD CONTIBUIÇÕES</t>
  </si>
  <si>
    <t>BO - Custos Indiretos</t>
  </si>
  <si>
    <t>BV - Lucro</t>
  </si>
  <si>
    <t>Subtotal Custo Empregados *% Variáveis</t>
  </si>
  <si>
    <t>Subtotal Custo Empregados +BP)* % Variáveis</t>
  </si>
  <si>
    <t>Data/Hora: 30/06/2021</t>
  </si>
  <si>
    <t>Descrição do Uniforme</t>
  </si>
  <si>
    <t>Quantidade TOTAL</t>
  </si>
  <si>
    <t>Valor total</t>
  </si>
  <si>
    <t>Calça ou Saia - Cor preta e tecido poliviscose</t>
  </si>
  <si>
    <t>Camisa - Cor Branca, manga longa e tecido como o minimo de 50% de fibras naturais</t>
  </si>
  <si>
    <t>Sapato - Cor preto e de couro</t>
  </si>
  <si>
    <t>Meia - Cor preta e de tecido poliéster ou poliamida</t>
  </si>
  <si>
    <t>Valor mensal por empregado</t>
  </si>
  <si>
    <t xml:space="preserve"> AUXILIAR ADMINISTRATIVO, ASSISTENTE ADMNINISTRATIVO e RECEPACIONAISTA</t>
  </si>
  <si>
    <t>SECRETARIO EXECUTIVO I e TÉCNICO DE SECRETARIADO</t>
  </si>
  <si>
    <t>VALOR DO UNIFORME</t>
  </si>
  <si>
    <t>VALOR TOTAL DOS UNIFORMES</t>
  </si>
  <si>
    <t>(Total Geral x 11,94% Tributos) = (R$ 3.300,53 x11,94%) = &gt;&gt;&gt;&gt;</t>
  </si>
  <si>
    <t>(Total Geral - 11,94% Tributos) = (R$ 3.300,53 - 394,08) = &gt;&gt;&gt;&gt;</t>
  </si>
  <si>
    <t>(R$ 2.906,45 * 11,94%)</t>
  </si>
  <si>
    <t>(R$ 2906,45 + 347,03) = VALOR FINAL DO HOMEM/MÊS</t>
  </si>
  <si>
    <t>Esta Empresa é beneficiada pela Liminar nº 0809076-29.2018.4.05.8400 (PIS e COFINS)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</si>
</sst>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0.0000"/>
    <numFmt numFmtId="166" formatCode="#,##0.0000_ ;[Red]\-#,##0.0000\ "/>
    <numFmt numFmtId="167" formatCode="dd/mm/yy;@"/>
    <numFmt numFmtId="168" formatCode="0.0000%"/>
  </numFmts>
  <fonts count="2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6"/>
      <color rgb="FF000000"/>
      <name val="Arial"/>
      <family val="2"/>
    </font>
    <font>
      <sz val="6"/>
      <color theme="1"/>
      <name val="Arial"/>
      <family val="2"/>
    </font>
    <font>
      <sz val="12"/>
      <color rgb="FF555555"/>
      <name val="Arial"/>
      <family val="2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7.5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8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3" fillId="0" borderId="0"/>
    <xf numFmtId="0" fontId="1" fillId="0" borderId="0"/>
    <xf numFmtId="0" fontId="14" fillId="0" borderId="0"/>
    <xf numFmtId="0" fontId="23" fillId="0" borderId="0" applyNumberFormat="0" applyFill="0" applyBorder="0" applyAlignment="0" applyProtection="0"/>
    <xf numFmtId="43" fontId="11" fillId="0" borderId="0" applyFont="0" applyFill="0" applyBorder="0" applyAlignment="0" applyProtection="0"/>
  </cellStyleXfs>
  <cellXfs count="360">
    <xf numFmtId="0" fontId="0" fillId="0" borderId="0" xfId="0"/>
    <xf numFmtId="4" fontId="5" fillId="0" borderId="0" xfId="0" applyNumberFormat="1" applyFont="1" applyAlignment="1">
      <alignment vertical="center"/>
    </xf>
    <xf numFmtId="4" fontId="6" fillId="4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horizontal="right" vertical="center"/>
    </xf>
    <xf numFmtId="164" fontId="5" fillId="0" borderId="0" xfId="0" applyNumberFormat="1" applyFont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/>
    </xf>
    <xf numFmtId="165" fontId="5" fillId="0" borderId="0" xfId="0" applyNumberFormat="1" applyFont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44" fontId="9" fillId="0" borderId="0" xfId="0" applyNumberFormat="1" applyFont="1"/>
    <xf numFmtId="0" fontId="10" fillId="0" borderId="0" xfId="0" applyFont="1"/>
    <xf numFmtId="0" fontId="3" fillId="2" borderId="1" xfId="0" applyFont="1" applyFill="1" applyBorder="1" applyAlignment="1">
      <alignment horizontal="center" vertical="center" wrapText="1"/>
    </xf>
    <xf numFmtId="4" fontId="5" fillId="0" borderId="11" xfId="0" applyNumberFormat="1" applyFont="1" applyBorder="1" applyAlignment="1">
      <alignment vertical="center"/>
    </xf>
    <xf numFmtId="44" fontId="5" fillId="0" borderId="16" xfId="1" applyFont="1" applyBorder="1" applyAlignment="1">
      <alignment vertical="center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4" fontId="6" fillId="0" borderId="22" xfId="0" applyNumberFormat="1" applyFont="1" applyFill="1" applyBorder="1" applyAlignment="1">
      <alignment horizontal="right" vertical="center"/>
    </xf>
    <xf numFmtId="4" fontId="6" fillId="0" borderId="23" xfId="0" applyNumberFormat="1" applyFont="1" applyFill="1" applyBorder="1" applyAlignment="1">
      <alignment horizontal="right" vertical="center"/>
    </xf>
    <xf numFmtId="4" fontId="3" fillId="3" borderId="22" xfId="0" applyNumberFormat="1" applyFont="1" applyFill="1" applyBorder="1" applyAlignment="1">
      <alignment horizontal="right" vertical="center"/>
    </xf>
    <xf numFmtId="4" fontId="3" fillId="3" borderId="23" xfId="0" applyNumberFormat="1" applyFont="1" applyFill="1" applyBorder="1" applyAlignment="1">
      <alignment horizontal="right" vertical="center"/>
    </xf>
    <xf numFmtId="4" fontId="6" fillId="4" borderId="22" xfId="0" applyNumberFormat="1" applyFont="1" applyFill="1" applyBorder="1" applyAlignment="1">
      <alignment horizontal="right" vertical="center"/>
    </xf>
    <xf numFmtId="4" fontId="6" fillId="4" borderId="23" xfId="0" applyNumberFormat="1" applyFont="1" applyFill="1" applyBorder="1" applyAlignment="1">
      <alignment horizontal="right" vertical="center"/>
    </xf>
    <xf numFmtId="4" fontId="4" fillId="3" borderId="22" xfId="0" applyNumberFormat="1" applyFont="1" applyFill="1" applyBorder="1" applyAlignment="1">
      <alignment vertical="center"/>
    </xf>
    <xf numFmtId="4" fontId="4" fillId="3" borderId="23" xfId="0" applyNumberFormat="1" applyFont="1" applyFill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7" fillId="5" borderId="24" xfId="0" applyNumberFormat="1" applyFont="1" applyFill="1" applyBorder="1" applyAlignment="1">
      <alignment vertical="center"/>
    </xf>
    <xf numFmtId="4" fontId="7" fillId="3" borderId="25" xfId="0" applyNumberFormat="1" applyFont="1" applyFill="1" applyBorder="1" applyAlignment="1">
      <alignment vertical="center"/>
    </xf>
    <xf numFmtId="4" fontId="7" fillId="3" borderId="26" xfId="0" applyNumberFormat="1" applyFont="1" applyFill="1" applyBorder="1" applyAlignment="1">
      <alignment vertical="center"/>
    </xf>
    <xf numFmtId="4" fontId="3" fillId="2" borderId="30" xfId="0" applyNumberFormat="1" applyFont="1" applyFill="1" applyBorder="1" applyAlignment="1">
      <alignment horizontal="center" vertical="center" wrapText="1"/>
    </xf>
    <xf numFmtId="4" fontId="7" fillId="3" borderId="24" xfId="0" applyNumberFormat="1" applyFont="1" applyFill="1" applyBorder="1" applyAlignment="1">
      <alignment vertical="center"/>
    </xf>
    <xf numFmtId="44" fontId="5" fillId="0" borderId="31" xfId="1" applyFont="1" applyBorder="1" applyAlignment="1">
      <alignment vertical="center"/>
    </xf>
    <xf numFmtId="4" fontId="5" fillId="0" borderId="12" xfId="0" applyNumberFormat="1" applyFont="1" applyBorder="1" applyAlignment="1">
      <alignment vertical="center"/>
    </xf>
    <xf numFmtId="4" fontId="4" fillId="6" borderId="12" xfId="0" applyNumberFormat="1" applyFont="1" applyFill="1" applyBorder="1" applyAlignment="1">
      <alignment vertical="center"/>
    </xf>
    <xf numFmtId="44" fontId="5" fillId="0" borderId="32" xfId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7" fillId="6" borderId="24" xfId="0" applyNumberFormat="1" applyFont="1" applyFill="1" applyBorder="1" applyAlignment="1">
      <alignment vertical="center"/>
    </xf>
    <xf numFmtId="4" fontId="4" fillId="0" borderId="14" xfId="0" applyNumberFormat="1" applyFont="1" applyFill="1" applyBorder="1" applyAlignment="1">
      <alignment vertical="center"/>
    </xf>
    <xf numFmtId="4" fontId="4" fillId="0" borderId="11" xfId="0" applyNumberFormat="1" applyFont="1" applyFill="1" applyBorder="1" applyAlignment="1">
      <alignment vertical="center"/>
    </xf>
    <xf numFmtId="44" fontId="9" fillId="0" borderId="0" xfId="1" applyFont="1"/>
    <xf numFmtId="0" fontId="5" fillId="0" borderId="0" xfId="0" applyFont="1" applyFill="1" applyAlignment="1">
      <alignment vertical="center"/>
    </xf>
    <xf numFmtId="4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44" fontId="0" fillId="0" borderId="1" xfId="0" applyNumberFormat="1" applyBorder="1"/>
    <xf numFmtId="44" fontId="0" fillId="0" borderId="23" xfId="0" applyNumberFormat="1" applyBorder="1"/>
    <xf numFmtId="0" fontId="12" fillId="5" borderId="48" xfId="0" applyFont="1" applyFill="1" applyBorder="1" applyAlignment="1">
      <alignment horizontal="center"/>
    </xf>
    <xf numFmtId="44" fontId="12" fillId="5" borderId="49" xfId="1" applyFont="1" applyFill="1" applyBorder="1"/>
    <xf numFmtId="44" fontId="12" fillId="5" borderId="48" xfId="0" applyNumberFormat="1" applyFont="1" applyFill="1" applyBorder="1"/>
    <xf numFmtId="44" fontId="12" fillId="5" borderId="32" xfId="0" applyNumberFormat="1" applyFont="1" applyFill="1" applyBorder="1"/>
    <xf numFmtId="0" fontId="0" fillId="7" borderId="30" xfId="0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 wrapText="1"/>
    </xf>
    <xf numFmtId="44" fontId="0" fillId="7" borderId="3" xfId="1" applyFont="1" applyFill="1" applyBorder="1" applyAlignment="1">
      <alignment horizontal="center" vertical="center" wrapText="1"/>
    </xf>
    <xf numFmtId="44" fontId="0" fillId="7" borderId="50" xfId="1" applyFont="1" applyFill="1" applyBorder="1" applyAlignment="1">
      <alignment horizontal="center" vertical="center" wrapText="1"/>
    </xf>
    <xf numFmtId="44" fontId="0" fillId="0" borderId="4" xfId="1" applyFont="1" applyBorder="1"/>
    <xf numFmtId="44" fontId="5" fillId="0" borderId="0" xfId="1" applyFont="1" applyAlignment="1">
      <alignment vertical="center"/>
    </xf>
    <xf numFmtId="0" fontId="5" fillId="0" borderId="0" xfId="0" applyFont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3" fontId="3" fillId="2" borderId="21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center" vertical="center" wrapText="1"/>
    </xf>
    <xf numFmtId="8" fontId="6" fillId="0" borderId="4" xfId="0" applyNumberFormat="1" applyFont="1" applyFill="1" applyBorder="1" applyAlignment="1">
      <alignment horizontal="center" vertical="center"/>
    </xf>
    <xf numFmtId="8" fontId="6" fillId="0" borderId="5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3" fontId="3" fillId="2" borderId="20" xfId="0" applyNumberFormat="1" applyFont="1" applyFill="1" applyBorder="1" applyAlignment="1">
      <alignment horizontal="center" vertical="center" wrapText="1"/>
    </xf>
    <xf numFmtId="9" fontId="5" fillId="0" borderId="4" xfId="0" applyNumberFormat="1" applyFont="1" applyBorder="1" applyAlignment="1">
      <alignment horizontal="center" vertical="center"/>
    </xf>
    <xf numFmtId="9" fontId="5" fillId="0" borderId="5" xfId="0" applyNumberFormat="1" applyFont="1" applyBorder="1" applyAlignment="1">
      <alignment horizontal="center" vertical="center"/>
    </xf>
    <xf numFmtId="10" fontId="5" fillId="0" borderId="4" xfId="0" applyNumberFormat="1" applyFont="1" applyBorder="1" applyAlignment="1">
      <alignment horizontal="center" vertical="center"/>
    </xf>
    <xf numFmtId="10" fontId="5" fillId="0" borderId="5" xfId="0" applyNumberFormat="1" applyFont="1" applyBorder="1" applyAlignment="1">
      <alignment horizontal="center" vertical="center"/>
    </xf>
    <xf numFmtId="166" fontId="6" fillId="4" borderId="4" xfId="0" applyNumberFormat="1" applyFont="1" applyFill="1" applyBorder="1" applyAlignment="1">
      <alignment horizontal="center" vertical="center"/>
    </xf>
    <xf numFmtId="166" fontId="6" fillId="4" borderId="5" xfId="0" applyNumberFormat="1" applyFont="1" applyFill="1" applyBorder="1" applyAlignment="1">
      <alignment horizontal="center" vertical="center"/>
    </xf>
    <xf numFmtId="166" fontId="6" fillId="0" borderId="4" xfId="0" applyNumberFormat="1" applyFont="1" applyFill="1" applyBorder="1" applyAlignment="1">
      <alignment horizontal="center" vertical="center"/>
    </xf>
    <xf numFmtId="166" fontId="6" fillId="0" borderId="5" xfId="0" applyNumberFormat="1" applyFont="1" applyFill="1" applyBorder="1" applyAlignment="1">
      <alignment horizontal="center" vertical="center"/>
    </xf>
    <xf numFmtId="9" fontId="6" fillId="4" borderId="4" xfId="0" applyNumberFormat="1" applyFont="1" applyFill="1" applyBorder="1" applyAlignment="1">
      <alignment horizontal="center" vertical="center"/>
    </xf>
    <xf numFmtId="9" fontId="6" fillId="4" borderId="5" xfId="0" applyNumberFormat="1" applyFont="1" applyFill="1" applyBorder="1" applyAlignment="1">
      <alignment horizontal="center" vertical="center"/>
    </xf>
    <xf numFmtId="0" fontId="16" fillId="0" borderId="0" xfId="3" applyFont="1" applyFill="1" applyAlignment="1">
      <alignment horizontal="left" vertical="top"/>
    </xf>
    <xf numFmtId="0" fontId="2" fillId="0" borderId="0" xfId="3" applyFont="1" applyFill="1" applyAlignment="1">
      <alignment horizontal="left" vertical="top"/>
    </xf>
    <xf numFmtId="0" fontId="17" fillId="0" borderId="0" xfId="3" applyFont="1" applyFill="1" applyAlignment="1">
      <alignment horizontal="center" vertical="center" wrapText="1"/>
    </xf>
    <xf numFmtId="0" fontId="16" fillId="0" borderId="0" xfId="3" applyFont="1" applyFill="1" applyAlignment="1">
      <alignment horizontal="center" vertical="center" wrapText="1"/>
    </xf>
    <xf numFmtId="0" fontId="17" fillId="0" borderId="0" xfId="3" applyFont="1" applyFill="1" applyAlignment="1">
      <alignment horizontal="left" vertical="top" wrapText="1" indent="4"/>
    </xf>
    <xf numFmtId="0" fontId="17" fillId="0" borderId="0" xfId="3" applyFont="1" applyFill="1" applyAlignment="1">
      <alignment horizontal="left" vertical="center" wrapText="1" indent="4"/>
    </xf>
    <xf numFmtId="0" fontId="21" fillId="0" borderId="46" xfId="3" applyFont="1" applyFill="1" applyBorder="1" applyAlignment="1">
      <alignment horizontal="center" vertical="center" wrapText="1"/>
    </xf>
    <xf numFmtId="10" fontId="16" fillId="0" borderId="46" xfId="3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4" fontId="3" fillId="0" borderId="22" xfId="0" applyNumberFormat="1" applyFont="1" applyFill="1" applyBorder="1" applyAlignment="1">
      <alignment horizontal="right" vertical="center"/>
    </xf>
    <xf numFmtId="4" fontId="3" fillId="0" borderId="23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4" xfId="0" applyNumberFormat="1" applyFont="1" applyFill="1" applyBorder="1" applyAlignment="1">
      <alignment horizontal="center" vertical="center"/>
    </xf>
    <xf numFmtId="10" fontId="5" fillId="0" borderId="5" xfId="0" applyNumberFormat="1" applyFont="1" applyFill="1" applyBorder="1" applyAlignment="1">
      <alignment horizontal="center" vertical="center"/>
    </xf>
    <xf numFmtId="4" fontId="5" fillId="0" borderId="22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4" fontId="5" fillId="0" borderId="23" xfId="0" applyNumberFormat="1" applyFont="1" applyFill="1" applyBorder="1" applyAlignment="1">
      <alignment vertical="center"/>
    </xf>
    <xf numFmtId="0" fontId="15" fillId="4" borderId="0" xfId="3" applyFont="1" applyFill="1" applyBorder="1" applyAlignment="1">
      <alignment horizontal="left" vertical="top"/>
    </xf>
    <xf numFmtId="0" fontId="16" fillId="4" borderId="0" xfId="3" applyFont="1" applyFill="1" applyBorder="1" applyAlignment="1">
      <alignment horizontal="left" vertical="top"/>
    </xf>
    <xf numFmtId="0" fontId="2" fillId="4" borderId="0" xfId="3" applyFont="1" applyFill="1" applyBorder="1" applyAlignment="1">
      <alignment horizontal="left" vertical="top"/>
    </xf>
    <xf numFmtId="0" fontId="16" fillId="4" borderId="0" xfId="3" applyFont="1" applyFill="1" applyAlignment="1">
      <alignment horizontal="left" vertical="top"/>
    </xf>
    <xf numFmtId="0" fontId="2" fillId="4" borderId="0" xfId="3" applyFont="1" applyFill="1" applyAlignment="1">
      <alignment horizontal="left" vertical="top"/>
    </xf>
    <xf numFmtId="0" fontId="2" fillId="4" borderId="0" xfId="3" applyFont="1" applyFill="1" applyAlignment="1">
      <alignment vertical="top" wrapText="1"/>
    </xf>
    <xf numFmtId="43" fontId="0" fillId="0" borderId="0" xfId="7" applyFont="1"/>
    <xf numFmtId="43" fontId="0" fillId="0" borderId="0" xfId="0" applyNumberFormat="1"/>
    <xf numFmtId="3" fontId="28" fillId="4" borderId="22" xfId="0" applyNumberFormat="1" applyFont="1" applyFill="1" applyBorder="1" applyAlignment="1">
      <alignment horizontal="center" vertical="center" wrapText="1"/>
    </xf>
    <xf numFmtId="4" fontId="28" fillId="4" borderId="1" xfId="0" applyNumberFormat="1" applyFont="1" applyFill="1" applyBorder="1" applyAlignment="1">
      <alignment horizontal="right" vertical="center" wrapText="1"/>
    </xf>
    <xf numFmtId="167" fontId="28" fillId="4" borderId="23" xfId="0" applyNumberFormat="1" applyFont="1" applyFill="1" applyBorder="1" applyAlignment="1">
      <alignment horizontal="center" vertical="center"/>
    </xf>
    <xf numFmtId="167" fontId="28" fillId="4" borderId="23" xfId="0" applyNumberFormat="1" applyFont="1" applyFill="1" applyBorder="1" applyAlignment="1">
      <alignment horizontal="center" vertical="center" wrapText="1"/>
    </xf>
    <xf numFmtId="4" fontId="28" fillId="4" borderId="1" xfId="0" applyNumberFormat="1" applyFont="1" applyFill="1" applyBorder="1" applyAlignment="1">
      <alignment horizontal="right" vertical="center"/>
    </xf>
    <xf numFmtId="4" fontId="28" fillId="4" borderId="23" xfId="0" applyNumberFormat="1" applyFont="1" applyFill="1" applyBorder="1" applyAlignment="1">
      <alignment horizontal="right" vertical="center"/>
    </xf>
    <xf numFmtId="3" fontId="25" fillId="3" borderId="24" xfId="0" applyNumberFormat="1" applyFont="1" applyFill="1" applyBorder="1" applyAlignment="1">
      <alignment horizontal="center" vertical="center" wrapText="1"/>
    </xf>
    <xf numFmtId="4" fontId="25" fillId="3" borderId="25" xfId="0" applyNumberFormat="1" applyFont="1" applyFill="1" applyBorder="1" applyAlignment="1">
      <alignment horizontal="right" vertical="center" wrapText="1"/>
    </xf>
    <xf numFmtId="0" fontId="5" fillId="8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vertical="center"/>
    </xf>
    <xf numFmtId="10" fontId="5" fillId="8" borderId="4" xfId="0" applyNumberFormat="1" applyFont="1" applyFill="1" applyBorder="1" applyAlignment="1">
      <alignment horizontal="center" vertical="center"/>
    </xf>
    <xf numFmtId="10" fontId="5" fillId="8" borderId="5" xfId="0" applyNumberFormat="1" applyFont="1" applyFill="1" applyBorder="1" applyAlignment="1">
      <alignment horizontal="center" vertical="center"/>
    </xf>
    <xf numFmtId="4" fontId="5" fillId="8" borderId="22" xfId="0" applyNumberFormat="1" applyFont="1" applyFill="1" applyBorder="1" applyAlignment="1">
      <alignment horizontal="right" vertical="center"/>
    </xf>
    <xf numFmtId="4" fontId="5" fillId="8" borderId="1" xfId="0" applyNumberFormat="1" applyFont="1" applyFill="1" applyBorder="1" applyAlignment="1">
      <alignment horizontal="right" vertical="center"/>
    </xf>
    <xf numFmtId="4" fontId="5" fillId="8" borderId="23" xfId="0" applyNumberFormat="1" applyFont="1" applyFill="1" applyBorder="1" applyAlignment="1">
      <alignment horizontal="right" vertical="center"/>
    </xf>
    <xf numFmtId="4" fontId="5" fillId="8" borderId="22" xfId="0" applyNumberFormat="1" applyFont="1" applyFill="1" applyBorder="1" applyAlignment="1">
      <alignment vertical="center"/>
    </xf>
    <xf numFmtId="0" fontId="4" fillId="8" borderId="1" xfId="0" applyFont="1" applyFill="1" applyBorder="1" applyAlignment="1">
      <alignment vertical="center"/>
    </xf>
    <xf numFmtId="0" fontId="4" fillId="8" borderId="4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4" fontId="4" fillId="8" borderId="22" xfId="0" applyNumberFormat="1" applyFont="1" applyFill="1" applyBorder="1" applyAlignment="1">
      <alignment vertical="center"/>
    </xf>
    <xf numFmtId="4" fontId="4" fillId="8" borderId="1" xfId="0" applyNumberFormat="1" applyFont="1" applyFill="1" applyBorder="1" applyAlignment="1">
      <alignment vertical="center"/>
    </xf>
    <xf numFmtId="4" fontId="4" fillId="8" borderId="23" xfId="0" applyNumberFormat="1" applyFont="1" applyFill="1" applyBorder="1" applyAlignment="1">
      <alignment vertical="center"/>
    </xf>
    <xf numFmtId="0" fontId="27" fillId="8" borderId="11" xfId="0" applyFont="1" applyFill="1" applyBorder="1" applyAlignment="1">
      <alignment horizontal="center"/>
    </xf>
    <xf numFmtId="0" fontId="0" fillId="8" borderId="27" xfId="0" applyFill="1" applyBorder="1" applyAlignment="1">
      <alignment horizontal="center"/>
    </xf>
    <xf numFmtId="0" fontId="0" fillId="8" borderId="28" xfId="0" applyFill="1" applyBorder="1" applyAlignment="1">
      <alignment horizontal="center"/>
    </xf>
    <xf numFmtId="0" fontId="0" fillId="8" borderId="29" xfId="0" applyFill="1" applyBorder="1" applyAlignment="1">
      <alignment horizontal="center"/>
    </xf>
    <xf numFmtId="10" fontId="27" fillId="8" borderId="22" xfId="2" applyNumberFormat="1" applyFont="1" applyFill="1" applyBorder="1" applyAlignment="1">
      <alignment horizontal="center"/>
    </xf>
    <xf numFmtId="10" fontId="27" fillId="8" borderId="1" xfId="2" applyNumberFormat="1" applyFont="1" applyFill="1" applyBorder="1" applyAlignment="1">
      <alignment horizontal="center"/>
    </xf>
    <xf numFmtId="10" fontId="27" fillId="8" borderId="23" xfId="2" applyNumberFormat="1" applyFont="1" applyFill="1" applyBorder="1" applyAlignment="1">
      <alignment horizontal="center"/>
    </xf>
    <xf numFmtId="10" fontId="27" fillId="8" borderId="24" xfId="2" applyNumberFormat="1" applyFont="1" applyFill="1" applyBorder="1" applyAlignment="1">
      <alignment horizontal="center" vertical="center"/>
    </xf>
    <xf numFmtId="10" fontId="27" fillId="8" borderId="25" xfId="2" applyNumberFormat="1" applyFont="1" applyFill="1" applyBorder="1" applyAlignment="1">
      <alignment horizontal="center" vertical="center"/>
    </xf>
    <xf numFmtId="10" fontId="27" fillId="8" borderId="26" xfId="2" applyNumberFormat="1" applyFont="1" applyFill="1" applyBorder="1" applyAlignment="1">
      <alignment horizontal="center" vertical="center"/>
    </xf>
    <xf numFmtId="4" fontId="3" fillId="2" borderId="64" xfId="0" applyNumberFormat="1" applyFont="1" applyFill="1" applyBorder="1" applyAlignment="1">
      <alignment horizontal="center" vertical="center" wrapText="1"/>
    </xf>
    <xf numFmtId="4" fontId="5" fillId="8" borderId="23" xfId="0" applyNumberFormat="1" applyFont="1" applyFill="1" applyBorder="1" applyAlignment="1">
      <alignment vertical="center"/>
    </xf>
    <xf numFmtId="4" fontId="7" fillId="6" borderId="26" xfId="0" applyNumberFormat="1" applyFont="1" applyFill="1" applyBorder="1" applyAlignment="1">
      <alignment vertical="center"/>
    </xf>
    <xf numFmtId="44" fontId="5" fillId="0" borderId="0" xfId="0" applyNumberFormat="1" applyFont="1" applyAlignment="1">
      <alignment horizontal="left" vertical="top" wrapText="1"/>
    </xf>
    <xf numFmtId="3" fontId="25" fillId="3" borderId="22" xfId="0" applyNumberFormat="1" applyFont="1" applyFill="1" applyBorder="1" applyAlignment="1">
      <alignment horizontal="center" vertical="center" textRotation="90" wrapText="1"/>
    </xf>
    <xf numFmtId="0" fontId="25" fillId="3" borderId="1" xfId="0" applyFont="1" applyFill="1" applyBorder="1" applyAlignment="1">
      <alignment horizontal="center" vertical="center" textRotation="90" wrapText="1"/>
    </xf>
    <xf numFmtId="167" fontId="25" fillId="3" borderId="23" xfId="0" applyNumberFormat="1" applyFont="1" applyFill="1" applyBorder="1" applyAlignment="1">
      <alignment horizontal="center" vertical="center" textRotation="90" wrapText="1"/>
    </xf>
    <xf numFmtId="4" fontId="25" fillId="3" borderId="25" xfId="0" applyNumberFormat="1" applyFont="1" applyFill="1" applyBorder="1" applyAlignment="1">
      <alignment horizontal="center" vertical="center" wrapText="1"/>
    </xf>
    <xf numFmtId="4" fontId="25" fillId="3" borderId="26" xfId="0" applyNumberFormat="1" applyFont="1" applyFill="1" applyBorder="1" applyAlignment="1">
      <alignment horizontal="center" vertical="center" wrapText="1"/>
    </xf>
    <xf numFmtId="3" fontId="25" fillId="9" borderId="22" xfId="0" applyNumberFormat="1" applyFont="1" applyFill="1" applyBorder="1" applyAlignment="1">
      <alignment horizontal="center" vertical="center" textRotation="90" wrapText="1"/>
    </xf>
    <xf numFmtId="0" fontId="25" fillId="9" borderId="1" xfId="0" applyFont="1" applyFill="1" applyBorder="1" applyAlignment="1">
      <alignment horizontal="center" vertical="center" textRotation="90" wrapText="1"/>
    </xf>
    <xf numFmtId="167" fontId="25" fillId="9" borderId="23" xfId="0" applyNumberFormat="1" applyFont="1" applyFill="1" applyBorder="1" applyAlignment="1">
      <alignment horizontal="center" vertical="center" textRotation="90" wrapText="1"/>
    </xf>
    <xf numFmtId="3" fontId="25" fillId="9" borderId="24" xfId="0" applyNumberFormat="1" applyFont="1" applyFill="1" applyBorder="1" applyAlignment="1">
      <alignment horizontal="center" vertical="center" wrapText="1"/>
    </xf>
    <xf numFmtId="4" fontId="25" fillId="9" borderId="25" xfId="0" applyNumberFormat="1" applyFont="1" applyFill="1" applyBorder="1" applyAlignment="1">
      <alignment horizontal="center" vertical="center" wrapText="1"/>
    </xf>
    <xf numFmtId="4" fontId="25" fillId="9" borderId="25" xfId="0" applyNumberFormat="1" applyFont="1" applyFill="1" applyBorder="1" applyAlignment="1">
      <alignment horizontal="right" vertical="center" wrapText="1"/>
    </xf>
    <xf numFmtId="4" fontId="25" fillId="9" borderId="26" xfId="0" applyNumberFormat="1" applyFont="1" applyFill="1" applyBorder="1" applyAlignment="1">
      <alignment horizontal="center" vertical="center" wrapText="1"/>
    </xf>
    <xf numFmtId="4" fontId="25" fillId="9" borderId="1" xfId="0" applyNumberFormat="1" applyFont="1" applyFill="1" applyBorder="1" applyAlignment="1">
      <alignment horizontal="center" vertical="center"/>
    </xf>
    <xf numFmtId="4" fontId="25" fillId="9" borderId="1" xfId="0" applyNumberFormat="1" applyFont="1" applyFill="1" applyBorder="1" applyAlignment="1">
      <alignment horizontal="center" vertical="center" wrapText="1"/>
    </xf>
    <xf numFmtId="4" fontId="25" fillId="9" borderId="23" xfId="0" applyNumberFormat="1" applyFont="1" applyFill="1" applyBorder="1" applyAlignment="1">
      <alignment horizontal="center" vertical="center" wrapText="1"/>
    </xf>
    <xf numFmtId="4" fontId="25" fillId="9" borderId="26" xfId="0" applyNumberFormat="1" applyFont="1" applyFill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4" fillId="0" borderId="22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 wrapText="1"/>
    </xf>
    <xf numFmtId="44" fontId="5" fillId="0" borderId="1" xfId="1" applyFont="1" applyFill="1" applyBorder="1" applyAlignment="1">
      <alignment horizontal="center" vertical="center"/>
    </xf>
    <xf numFmtId="44" fontId="5" fillId="0" borderId="23" xfId="1" applyFont="1" applyFill="1" applyBorder="1" applyAlignment="1">
      <alignment horizontal="center" vertical="center"/>
    </xf>
    <xf numFmtId="44" fontId="5" fillId="0" borderId="68" xfId="1" applyFont="1" applyFill="1" applyBorder="1" applyAlignment="1">
      <alignment horizontal="center" vertical="center"/>
    </xf>
    <xf numFmtId="44" fontId="4" fillId="3" borderId="54" xfId="1" applyFont="1" applyFill="1" applyBorder="1" applyAlignment="1">
      <alignment horizontal="center" vertical="center"/>
    </xf>
    <xf numFmtId="44" fontId="5" fillId="0" borderId="22" xfId="1" applyFont="1" applyFill="1" applyBorder="1" applyAlignment="1">
      <alignment horizontal="center" vertical="center"/>
    </xf>
    <xf numFmtId="44" fontId="5" fillId="0" borderId="22" xfId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/>
    <xf numFmtId="8" fontId="3" fillId="0" borderId="4" xfId="0" applyNumberFormat="1" applyFont="1" applyFill="1" applyBorder="1" applyAlignment="1">
      <alignment horizontal="center" vertical="center"/>
    </xf>
    <xf numFmtId="44" fontId="4" fillId="0" borderId="68" xfId="1" applyFont="1" applyFill="1" applyBorder="1" applyAlignment="1">
      <alignment horizontal="center" vertical="center"/>
    </xf>
    <xf numFmtId="0" fontId="16" fillId="0" borderId="34" xfId="3" applyFont="1" applyFill="1" applyBorder="1" applyAlignment="1">
      <alignment horizontal="left" vertical="center" wrapText="1"/>
    </xf>
    <xf numFmtId="0" fontId="16" fillId="0" borderId="35" xfId="3" applyFont="1" applyFill="1" applyBorder="1" applyAlignment="1">
      <alignment horizontal="left" vertical="center" wrapText="1"/>
    </xf>
    <xf numFmtId="0" fontId="16" fillId="0" borderId="36" xfId="3" applyFont="1" applyFill="1" applyBorder="1" applyAlignment="1">
      <alignment horizontal="left" vertical="center" wrapText="1"/>
    </xf>
    <xf numFmtId="0" fontId="16" fillId="0" borderId="34" xfId="3" applyFont="1" applyFill="1" applyBorder="1" applyAlignment="1">
      <alignment horizontal="center" vertical="center" wrapText="1"/>
    </xf>
    <xf numFmtId="0" fontId="16" fillId="0" borderId="35" xfId="3" applyFont="1" applyFill="1" applyBorder="1" applyAlignment="1">
      <alignment horizontal="center" vertical="center" wrapText="1"/>
    </xf>
    <xf numFmtId="0" fontId="16" fillId="0" borderId="36" xfId="3" applyFont="1" applyFill="1" applyBorder="1" applyAlignment="1">
      <alignment horizontal="center" vertical="center" wrapText="1"/>
    </xf>
    <xf numFmtId="0" fontId="17" fillId="0" borderId="34" xfId="3" applyFont="1" applyFill="1" applyBorder="1" applyAlignment="1">
      <alignment horizontal="center" vertical="center" wrapText="1"/>
    </xf>
    <xf numFmtId="0" fontId="17" fillId="0" borderId="36" xfId="3" applyFont="1" applyFill="1" applyBorder="1" applyAlignment="1">
      <alignment horizontal="center" vertical="center" wrapText="1"/>
    </xf>
    <xf numFmtId="0" fontId="17" fillId="0" borderId="35" xfId="3" applyFont="1" applyFill="1" applyBorder="1" applyAlignment="1">
      <alignment horizontal="center" vertical="center" wrapText="1"/>
    </xf>
    <xf numFmtId="0" fontId="17" fillId="0" borderId="33" xfId="3" applyFont="1" applyFill="1" applyBorder="1" applyAlignment="1">
      <alignment horizontal="center" vertical="center" wrapText="1"/>
    </xf>
    <xf numFmtId="0" fontId="16" fillId="0" borderId="33" xfId="3" applyFont="1" applyFill="1" applyBorder="1" applyAlignment="1">
      <alignment horizontal="center" vertical="center" wrapText="1"/>
    </xf>
    <xf numFmtId="0" fontId="17" fillId="0" borderId="34" xfId="3" applyFont="1" applyFill="1" applyBorder="1" applyAlignment="1">
      <alignment horizontal="center" vertical="top" wrapText="1"/>
    </xf>
    <xf numFmtId="0" fontId="17" fillId="0" borderId="35" xfId="3" applyFont="1" applyFill="1" applyBorder="1" applyAlignment="1">
      <alignment horizontal="center" vertical="top" wrapText="1"/>
    </xf>
    <xf numFmtId="0" fontId="17" fillId="0" borderId="36" xfId="3" applyFont="1" applyFill="1" applyBorder="1" applyAlignment="1">
      <alignment horizontal="center" vertical="top" wrapText="1"/>
    </xf>
    <xf numFmtId="0" fontId="23" fillId="0" borderId="34" xfId="6" applyFill="1" applyBorder="1" applyAlignment="1">
      <alignment horizontal="center" vertical="center"/>
    </xf>
    <xf numFmtId="0" fontId="11" fillId="0" borderId="35" xfId="0" applyFont="1" applyFill="1" applyBorder="1" applyAlignment="1">
      <alignment horizontal="center" vertical="center"/>
    </xf>
    <xf numFmtId="0" fontId="11" fillId="0" borderId="36" xfId="0" applyFont="1" applyFill="1" applyBorder="1" applyAlignment="1">
      <alignment horizontal="center" vertical="center"/>
    </xf>
    <xf numFmtId="0" fontId="17" fillId="0" borderId="34" xfId="3" applyFont="1" applyFill="1" applyBorder="1" applyAlignment="1">
      <alignment horizontal="left" vertical="center" wrapText="1"/>
    </xf>
    <xf numFmtId="0" fontId="17" fillId="0" borderId="35" xfId="3" applyFont="1" applyFill="1" applyBorder="1" applyAlignment="1">
      <alignment horizontal="left" vertical="center" wrapText="1"/>
    </xf>
    <xf numFmtId="0" fontId="17" fillId="0" borderId="36" xfId="3" applyFont="1" applyFill="1" applyBorder="1" applyAlignment="1">
      <alignment horizontal="left" vertical="center" wrapText="1"/>
    </xf>
    <xf numFmtId="14" fontId="16" fillId="0" borderId="34" xfId="3" applyNumberFormat="1" applyFont="1" applyFill="1" applyBorder="1" applyAlignment="1">
      <alignment horizontal="center" vertical="center" wrapText="1"/>
    </xf>
    <xf numFmtId="0" fontId="16" fillId="0" borderId="35" xfId="3" applyFont="1" applyFill="1" applyBorder="1" applyAlignment="1">
      <alignment horizontal="center" vertical="top" wrapText="1"/>
    </xf>
    <xf numFmtId="0" fontId="16" fillId="0" borderId="36" xfId="3" applyFont="1" applyFill="1" applyBorder="1" applyAlignment="1">
      <alignment horizontal="center" vertical="top" wrapText="1"/>
    </xf>
    <xf numFmtId="0" fontId="2" fillId="0" borderId="34" xfId="3" applyFont="1" applyFill="1" applyBorder="1" applyAlignment="1">
      <alignment horizontal="center" vertical="center" wrapText="1"/>
    </xf>
    <xf numFmtId="0" fontId="2" fillId="0" borderId="35" xfId="3" applyFont="1" applyFill="1" applyBorder="1" applyAlignment="1">
      <alignment horizontal="center" vertical="center" wrapText="1"/>
    </xf>
    <xf numFmtId="0" fontId="2" fillId="0" borderId="36" xfId="3" applyFont="1" applyFill="1" applyBorder="1" applyAlignment="1">
      <alignment horizontal="center" vertical="center" wrapText="1"/>
    </xf>
    <xf numFmtId="0" fontId="18" fillId="0" borderId="43" xfId="3" applyFont="1" applyFill="1" applyBorder="1" applyAlignment="1">
      <alignment horizontal="left" vertical="center" wrapText="1"/>
    </xf>
    <xf numFmtId="0" fontId="18" fillId="0" borderId="33" xfId="3" applyFont="1" applyFill="1" applyBorder="1" applyAlignment="1">
      <alignment horizontal="left" vertical="center" wrapText="1"/>
    </xf>
    <xf numFmtId="0" fontId="18" fillId="0" borderId="44" xfId="3" applyFont="1" applyFill="1" applyBorder="1" applyAlignment="1">
      <alignment horizontal="left" vertical="center" wrapText="1"/>
    </xf>
    <xf numFmtId="0" fontId="16" fillId="0" borderId="43" xfId="3" applyFont="1" applyFill="1" applyBorder="1" applyAlignment="1">
      <alignment horizontal="left" vertical="center" wrapText="1"/>
    </xf>
    <xf numFmtId="0" fontId="16" fillId="0" borderId="33" xfId="3" applyFont="1" applyFill="1" applyBorder="1" applyAlignment="1">
      <alignment horizontal="left" vertical="center" wrapText="1"/>
    </xf>
    <xf numFmtId="0" fontId="16" fillId="0" borderId="44" xfId="3" applyFont="1" applyFill="1" applyBorder="1" applyAlignment="1">
      <alignment horizontal="left" vertical="center" wrapText="1"/>
    </xf>
    <xf numFmtId="0" fontId="18" fillId="0" borderId="34" xfId="3" applyFont="1" applyFill="1" applyBorder="1" applyAlignment="1">
      <alignment horizontal="left" vertical="center" wrapText="1"/>
    </xf>
    <xf numFmtId="0" fontId="18" fillId="0" borderId="35" xfId="3" applyFont="1" applyFill="1" applyBorder="1" applyAlignment="1">
      <alignment horizontal="left" vertical="center" wrapText="1"/>
    </xf>
    <xf numFmtId="0" fontId="18" fillId="0" borderId="36" xfId="3" applyFont="1" applyFill="1" applyBorder="1" applyAlignment="1">
      <alignment horizontal="left" vertical="center" wrapText="1"/>
    </xf>
    <xf numFmtId="0" fontId="18" fillId="0" borderId="34" xfId="3" applyFont="1" applyFill="1" applyBorder="1" applyAlignment="1">
      <alignment horizontal="justify" vertical="center" wrapText="1"/>
    </xf>
    <xf numFmtId="0" fontId="18" fillId="0" borderId="35" xfId="3" applyFont="1" applyFill="1" applyBorder="1" applyAlignment="1">
      <alignment horizontal="justify" vertical="center" wrapText="1"/>
    </xf>
    <xf numFmtId="0" fontId="18" fillId="0" borderId="36" xfId="3" applyFont="1" applyFill="1" applyBorder="1" applyAlignment="1">
      <alignment horizontal="justify" vertical="center" wrapText="1"/>
    </xf>
    <xf numFmtId="0" fontId="19" fillId="0" borderId="37" xfId="3" applyFont="1" applyFill="1" applyBorder="1" applyAlignment="1">
      <alignment horizontal="left" vertical="center" wrapText="1"/>
    </xf>
    <xf numFmtId="0" fontId="15" fillId="0" borderId="12" xfId="3" applyFont="1" applyFill="1" applyBorder="1" applyAlignment="1">
      <alignment horizontal="center" vertical="center" wrapText="1"/>
    </xf>
    <xf numFmtId="0" fontId="15" fillId="0" borderId="13" xfId="3" applyFont="1" applyFill="1" applyBorder="1" applyAlignment="1">
      <alignment horizontal="center" vertical="center" wrapText="1"/>
    </xf>
    <xf numFmtId="0" fontId="15" fillId="0" borderId="14" xfId="3" applyFont="1" applyFill="1" applyBorder="1" applyAlignment="1">
      <alignment horizontal="center" vertical="center" wrapText="1"/>
    </xf>
    <xf numFmtId="1" fontId="16" fillId="0" borderId="38" xfId="3" applyNumberFormat="1" applyFont="1" applyFill="1" applyBorder="1" applyAlignment="1">
      <alignment horizontal="center" vertical="center" shrinkToFit="1"/>
    </xf>
    <xf numFmtId="1" fontId="16" fillId="0" borderId="42" xfId="3" applyNumberFormat="1" applyFont="1" applyFill="1" applyBorder="1" applyAlignment="1">
      <alignment horizontal="center" vertical="center" shrinkToFit="1"/>
    </xf>
    <xf numFmtId="1" fontId="16" fillId="0" borderId="45" xfId="3" applyNumberFormat="1" applyFont="1" applyFill="1" applyBorder="1" applyAlignment="1">
      <alignment horizontal="center" vertical="center" shrinkToFit="1"/>
    </xf>
    <xf numFmtId="0" fontId="18" fillId="0" borderId="39" xfId="3" applyFont="1" applyFill="1" applyBorder="1" applyAlignment="1">
      <alignment horizontal="left" vertical="center" wrapText="1"/>
    </xf>
    <xf numFmtId="0" fontId="18" fillId="0" borderId="40" xfId="3" applyFont="1" applyFill="1" applyBorder="1" applyAlignment="1">
      <alignment horizontal="left" vertical="center" wrapText="1"/>
    </xf>
    <xf numFmtId="0" fontId="18" fillId="0" borderId="41" xfId="3" applyFont="1" applyFill="1" applyBorder="1" applyAlignment="1">
      <alignment horizontal="left" vertical="center" wrapText="1"/>
    </xf>
    <xf numFmtId="0" fontId="16" fillId="0" borderId="39" xfId="3" applyFont="1" applyFill="1" applyBorder="1" applyAlignment="1">
      <alignment horizontal="justify" vertical="center" wrapText="1"/>
    </xf>
    <xf numFmtId="0" fontId="16" fillId="0" borderId="40" xfId="3" applyFont="1" applyFill="1" applyBorder="1" applyAlignment="1">
      <alignment horizontal="justify" vertical="center" wrapText="1"/>
    </xf>
    <xf numFmtId="0" fontId="16" fillId="0" borderId="41" xfId="3" applyFont="1" applyFill="1" applyBorder="1" applyAlignment="1">
      <alignment horizontal="justify" vertical="center" wrapText="1"/>
    </xf>
    <xf numFmtId="0" fontId="21" fillId="0" borderId="34" xfId="3" applyFont="1" applyFill="1" applyBorder="1" applyAlignment="1">
      <alignment horizontal="center" vertical="center" wrapText="1"/>
    </xf>
    <xf numFmtId="0" fontId="21" fillId="0" borderId="36" xfId="3" applyFont="1" applyFill="1" applyBorder="1" applyAlignment="1">
      <alignment horizontal="center" vertical="center" wrapText="1"/>
    </xf>
    <xf numFmtId="0" fontId="21" fillId="0" borderId="35" xfId="3" applyFont="1" applyFill="1" applyBorder="1" applyAlignment="1">
      <alignment horizontal="center" vertical="center" wrapText="1"/>
    </xf>
    <xf numFmtId="0" fontId="17" fillId="0" borderId="34" xfId="3" applyFont="1" applyFill="1" applyBorder="1" applyAlignment="1">
      <alignment horizontal="left" vertical="top" wrapText="1" indent="9"/>
    </xf>
    <xf numFmtId="0" fontId="17" fillId="0" borderId="35" xfId="3" applyFont="1" applyFill="1" applyBorder="1" applyAlignment="1">
      <alignment horizontal="left" vertical="top" wrapText="1" indent="9"/>
    </xf>
    <xf numFmtId="0" fontId="17" fillId="0" borderId="36" xfId="3" applyFont="1" applyFill="1" applyBorder="1" applyAlignment="1">
      <alignment horizontal="left" vertical="top" wrapText="1" indent="9"/>
    </xf>
    <xf numFmtId="0" fontId="24" fillId="0" borderId="34" xfId="3" applyFont="1" applyFill="1" applyBorder="1" applyAlignment="1">
      <alignment horizontal="center" vertical="center" wrapText="1"/>
    </xf>
    <xf numFmtId="0" fontId="24" fillId="0" borderId="35" xfId="3" applyFont="1" applyFill="1" applyBorder="1" applyAlignment="1">
      <alignment horizontal="center" vertical="center" wrapText="1"/>
    </xf>
    <xf numFmtId="0" fontId="24" fillId="0" borderId="36" xfId="3" applyFont="1" applyFill="1" applyBorder="1" applyAlignment="1">
      <alignment horizontal="center" vertical="center" wrapText="1"/>
    </xf>
    <xf numFmtId="0" fontId="22" fillId="0" borderId="0" xfId="3" applyFont="1" applyFill="1" applyAlignment="1">
      <alignment horizontal="left" vertical="top" wrapText="1"/>
    </xf>
    <xf numFmtId="0" fontId="16" fillId="0" borderId="37" xfId="3" applyFont="1" applyFill="1" applyBorder="1" applyAlignment="1">
      <alignment horizontal="center" vertical="center" wrapText="1"/>
    </xf>
    <xf numFmtId="0" fontId="20" fillId="0" borderId="37" xfId="3" applyFont="1" applyFill="1" applyBorder="1" applyAlignment="1">
      <alignment horizontal="center" vertical="top" wrapText="1"/>
    </xf>
    <xf numFmtId="0" fontId="17" fillId="0" borderId="47" xfId="3" applyFont="1" applyFill="1" applyBorder="1" applyAlignment="1">
      <alignment horizontal="center" vertical="center" wrapText="1"/>
    </xf>
    <xf numFmtId="0" fontId="17" fillId="0" borderId="33" xfId="3" applyFont="1" applyFill="1" applyBorder="1" applyAlignment="1">
      <alignment horizontal="center" vertical="top" wrapText="1"/>
    </xf>
    <xf numFmtId="10" fontId="16" fillId="0" borderId="34" xfId="3" applyNumberFormat="1" applyFont="1" applyFill="1" applyBorder="1" applyAlignment="1">
      <alignment horizontal="center" vertical="center" wrapText="1"/>
    </xf>
    <xf numFmtId="168" fontId="16" fillId="0" borderId="34" xfId="3" applyNumberFormat="1" applyFont="1" applyFill="1" applyBorder="1" applyAlignment="1">
      <alignment horizontal="center" vertical="center" wrapText="1"/>
    </xf>
    <xf numFmtId="168" fontId="16" fillId="0" borderId="36" xfId="3" applyNumberFormat="1" applyFont="1" applyFill="1" applyBorder="1" applyAlignment="1">
      <alignment horizontal="center" vertical="center" wrapText="1"/>
    </xf>
    <xf numFmtId="10" fontId="16" fillId="0" borderId="36" xfId="3" applyNumberFormat="1" applyFont="1" applyFill="1" applyBorder="1" applyAlignment="1">
      <alignment horizontal="center" vertical="center" wrapText="1"/>
    </xf>
    <xf numFmtId="10" fontId="16" fillId="0" borderId="35" xfId="3" applyNumberFormat="1" applyFont="1" applyFill="1" applyBorder="1" applyAlignment="1">
      <alignment horizontal="center" vertical="center" wrapText="1"/>
    </xf>
    <xf numFmtId="0" fontId="18" fillId="0" borderId="34" xfId="3" applyFont="1" applyFill="1" applyBorder="1" applyAlignment="1">
      <alignment horizontal="center" vertical="top" wrapText="1"/>
    </xf>
    <xf numFmtId="0" fontId="15" fillId="0" borderId="34" xfId="3" applyFont="1" applyFill="1" applyBorder="1" applyAlignment="1">
      <alignment horizontal="center" vertical="top" wrapText="1"/>
    </xf>
    <xf numFmtId="0" fontId="15" fillId="0" borderId="35" xfId="3" applyFont="1" applyFill="1" applyBorder="1" applyAlignment="1">
      <alignment horizontal="center" vertical="top" wrapText="1"/>
    </xf>
    <xf numFmtId="0" fontId="15" fillId="0" borderId="36" xfId="3" applyFont="1" applyFill="1" applyBorder="1" applyAlignment="1">
      <alignment horizontal="center" vertical="top" wrapText="1"/>
    </xf>
    <xf numFmtId="0" fontId="26" fillId="3" borderId="12" xfId="0" applyFont="1" applyFill="1" applyBorder="1" applyAlignment="1">
      <alignment horizontal="center" vertical="center"/>
    </xf>
    <xf numFmtId="0" fontId="26" fillId="3" borderId="13" xfId="0" applyFont="1" applyFill="1" applyBorder="1" applyAlignment="1">
      <alignment horizontal="center" vertical="center"/>
    </xf>
    <xf numFmtId="0" fontId="26" fillId="3" borderId="14" xfId="0" applyFont="1" applyFill="1" applyBorder="1" applyAlignment="1">
      <alignment horizontal="center" vertical="center"/>
    </xf>
    <xf numFmtId="4" fontId="25" fillId="9" borderId="60" xfId="0" applyNumberFormat="1" applyFont="1" applyFill="1" applyBorder="1" applyAlignment="1">
      <alignment horizontal="center" vertical="center"/>
    </xf>
    <xf numFmtId="4" fontId="25" fillId="9" borderId="18" xfId="0" applyNumberFormat="1" applyFont="1" applyFill="1" applyBorder="1" applyAlignment="1">
      <alignment horizontal="center" vertical="center"/>
    </xf>
    <xf numFmtId="4" fontId="25" fillId="9" borderId="19" xfId="0" applyNumberFormat="1" applyFont="1" applyFill="1" applyBorder="1" applyAlignment="1">
      <alignment horizontal="center" vertical="center"/>
    </xf>
    <xf numFmtId="0" fontId="26" fillId="3" borderId="7" xfId="0" applyFont="1" applyFill="1" applyBorder="1" applyAlignment="1">
      <alignment horizontal="center" vertical="center"/>
    </xf>
    <xf numFmtId="0" fontId="26" fillId="3" borderId="10" xfId="0" applyFont="1" applyFill="1" applyBorder="1" applyAlignment="1">
      <alignment horizontal="center" vertical="center"/>
    </xf>
    <xf numFmtId="0" fontId="26" fillId="3" borderId="17" xfId="0" applyFont="1" applyFill="1" applyBorder="1" applyAlignment="1">
      <alignment horizontal="center" vertical="center" wrapText="1"/>
    </xf>
    <xf numFmtId="0" fontId="26" fillId="3" borderId="18" xfId="0" applyFont="1" applyFill="1" applyBorder="1" applyAlignment="1">
      <alignment horizontal="center" vertical="center" wrapText="1"/>
    </xf>
    <xf numFmtId="0" fontId="26" fillId="3" borderId="19" xfId="0" applyFont="1" applyFill="1" applyBorder="1" applyAlignment="1">
      <alignment horizontal="center" vertical="center" wrapText="1"/>
    </xf>
    <xf numFmtId="0" fontId="26" fillId="9" borderId="17" xfId="0" applyFont="1" applyFill="1" applyBorder="1" applyAlignment="1">
      <alignment horizontal="center" vertical="center" wrapText="1"/>
    </xf>
    <xf numFmtId="0" fontId="26" fillId="9" borderId="18" xfId="0" applyFont="1" applyFill="1" applyBorder="1" applyAlignment="1">
      <alignment horizontal="center" vertical="center" wrapText="1"/>
    </xf>
    <xf numFmtId="0" fontId="26" fillId="9" borderId="19" xfId="0" applyFont="1" applyFill="1" applyBorder="1" applyAlignment="1">
      <alignment horizontal="center" vertical="center" wrapText="1"/>
    </xf>
    <xf numFmtId="3" fontId="25" fillId="9" borderId="59" xfId="0" applyNumberFormat="1" applyFont="1" applyFill="1" applyBorder="1" applyAlignment="1">
      <alignment horizontal="center" vertical="center" textRotation="90" wrapText="1"/>
    </xf>
    <xf numFmtId="3" fontId="25" fillId="9" borderId="30" xfId="0" applyNumberFormat="1" applyFont="1" applyFill="1" applyBorder="1" applyAlignment="1">
      <alignment horizontal="center" vertical="center" textRotation="90" wrapText="1"/>
    </xf>
    <xf numFmtId="0" fontId="26" fillId="3" borderId="2" xfId="0" applyFont="1" applyFill="1" applyBorder="1" applyAlignment="1">
      <alignment horizontal="center" vertical="center" textRotation="90" wrapText="1"/>
    </xf>
    <xf numFmtId="0" fontId="26" fillId="3" borderId="6" xfId="0" applyFont="1" applyFill="1" applyBorder="1" applyAlignment="1">
      <alignment horizontal="center" vertical="center" textRotation="90" wrapText="1"/>
    </xf>
    <xf numFmtId="0" fontId="26" fillId="3" borderId="3" xfId="0" applyFont="1" applyFill="1" applyBorder="1" applyAlignment="1">
      <alignment horizontal="center" vertical="center" textRotation="90" wrapText="1"/>
    </xf>
    <xf numFmtId="0" fontId="25" fillId="3" borderId="2" xfId="0" applyFont="1" applyFill="1" applyBorder="1" applyAlignment="1">
      <alignment horizontal="center" vertical="center" textRotation="90" wrapText="1"/>
    </xf>
    <xf numFmtId="0" fontId="25" fillId="3" borderId="8" xfId="0" applyFont="1" applyFill="1" applyBorder="1" applyAlignment="1">
      <alignment horizontal="center" vertical="center" textRotation="90" wrapText="1"/>
    </xf>
    <xf numFmtId="0" fontId="25" fillId="3" borderId="9" xfId="0" applyFont="1" applyFill="1" applyBorder="1" applyAlignment="1">
      <alignment horizontal="center" vertical="center" textRotation="90" wrapText="1"/>
    </xf>
    <xf numFmtId="0" fontId="26" fillId="2" borderId="2" xfId="0" applyFont="1" applyFill="1" applyBorder="1" applyAlignment="1">
      <alignment horizontal="center" vertical="center" textRotation="90" wrapText="1"/>
    </xf>
    <xf numFmtId="0" fontId="26" fillId="2" borderId="6" xfId="0" applyFont="1" applyFill="1" applyBorder="1" applyAlignment="1">
      <alignment horizontal="center" vertical="center" textRotation="90" wrapText="1"/>
    </xf>
    <xf numFmtId="0" fontId="26" fillId="2" borderId="3" xfId="0" applyFont="1" applyFill="1" applyBorder="1" applyAlignment="1">
      <alignment horizontal="center" vertical="center" textRotation="90" wrapText="1"/>
    </xf>
    <xf numFmtId="4" fontId="25" fillId="4" borderId="2" xfId="0" applyNumberFormat="1" applyFont="1" applyFill="1" applyBorder="1" applyAlignment="1">
      <alignment horizontal="center" vertical="center" wrapText="1"/>
    </xf>
    <xf numFmtId="4" fontId="25" fillId="4" borderId="3" xfId="0" applyNumberFormat="1" applyFont="1" applyFill="1" applyBorder="1" applyAlignment="1">
      <alignment horizontal="center" vertical="center" wrapText="1"/>
    </xf>
    <xf numFmtId="3" fontId="3" fillId="2" borderId="20" xfId="0" applyNumberFormat="1" applyFont="1" applyFill="1" applyBorder="1" applyAlignment="1">
      <alignment horizontal="center" vertical="center" wrapText="1"/>
    </xf>
    <xf numFmtId="3" fontId="3" fillId="2" borderId="21" xfId="0" applyNumberFormat="1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6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4" fillId="0" borderId="51" xfId="0" applyFont="1" applyFill="1" applyBorder="1" applyAlignment="1">
      <alignment horizontal="center" vertical="center" textRotation="90"/>
    </xf>
    <xf numFmtId="0" fontId="4" fillId="0" borderId="30" xfId="0" applyFont="1" applyFill="1" applyBorder="1" applyAlignment="1">
      <alignment horizontal="center" vertical="center" textRotation="90"/>
    </xf>
    <xf numFmtId="0" fontId="3" fillId="0" borderId="2" xfId="0" applyFont="1" applyFill="1" applyBorder="1" applyAlignment="1">
      <alignment horizontal="center" vertical="center" textRotation="90"/>
    </xf>
    <xf numFmtId="0" fontId="3" fillId="0" borderId="3" xfId="0" applyFont="1" applyFill="1" applyBorder="1" applyAlignment="1">
      <alignment horizontal="center" vertical="center" textRotation="90"/>
    </xf>
    <xf numFmtId="0" fontId="4" fillId="3" borderId="2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51" xfId="0" applyFont="1" applyFill="1" applyBorder="1" applyAlignment="1">
      <alignment horizontal="center" vertical="center" textRotation="90"/>
    </xf>
    <xf numFmtId="0" fontId="4" fillId="3" borderId="52" xfId="0" applyFont="1" applyFill="1" applyBorder="1" applyAlignment="1">
      <alignment horizontal="center" vertical="center" textRotation="90"/>
    </xf>
    <xf numFmtId="0" fontId="4" fillId="3" borderId="30" xfId="0" applyFont="1" applyFill="1" applyBorder="1" applyAlignment="1">
      <alignment horizontal="center" vertical="center" textRotation="90"/>
    </xf>
    <xf numFmtId="0" fontId="3" fillId="3" borderId="61" xfId="0" applyFont="1" applyFill="1" applyBorder="1" applyAlignment="1">
      <alignment horizontal="center" vertical="center"/>
    </xf>
    <xf numFmtId="0" fontId="3" fillId="3" borderId="62" xfId="0" applyFont="1" applyFill="1" applyBorder="1" applyAlignment="1">
      <alignment horizontal="center" vertical="center"/>
    </xf>
    <xf numFmtId="0" fontId="3" fillId="3" borderId="6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6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4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3" borderId="2" xfId="0" applyFont="1" applyFill="1" applyBorder="1" applyAlignment="1">
      <alignment horizontal="center" vertical="center" textRotation="90"/>
    </xf>
    <xf numFmtId="0" fontId="4" fillId="3" borderId="6" xfId="0" applyFont="1" applyFill="1" applyBorder="1" applyAlignment="1">
      <alignment horizontal="center" vertical="center" textRotation="90"/>
    </xf>
    <xf numFmtId="0" fontId="4" fillId="3" borderId="3" xfId="0" applyFont="1" applyFill="1" applyBorder="1" applyAlignment="1">
      <alignment horizontal="center" vertical="center" textRotation="90"/>
    </xf>
    <xf numFmtId="0" fontId="7" fillId="3" borderId="55" xfId="0" applyFont="1" applyFill="1" applyBorder="1" applyAlignment="1">
      <alignment horizontal="center" vertical="center"/>
    </xf>
    <xf numFmtId="0" fontId="7" fillId="3" borderId="56" xfId="0" applyFont="1" applyFill="1" applyBorder="1" applyAlignment="1">
      <alignment horizontal="center" vertical="center"/>
    </xf>
    <xf numFmtId="0" fontId="7" fillId="3" borderId="58" xfId="0" applyFont="1" applyFill="1" applyBorder="1" applyAlignment="1">
      <alignment horizontal="center" vertical="center"/>
    </xf>
    <xf numFmtId="44" fontId="5" fillId="0" borderId="0" xfId="0" applyNumberFormat="1" applyFont="1" applyAlignment="1">
      <alignment horizontal="center" vertical="top" wrapText="1"/>
    </xf>
    <xf numFmtId="0" fontId="12" fillId="5" borderId="55" xfId="0" applyFont="1" applyFill="1" applyBorder="1" applyAlignment="1">
      <alignment horizontal="center" vertical="center"/>
    </xf>
    <xf numFmtId="0" fontId="12" fillId="5" borderId="56" xfId="0" applyFont="1" applyFill="1" applyBorder="1" applyAlignment="1">
      <alignment horizontal="center" vertical="center"/>
    </xf>
    <xf numFmtId="0" fontId="12" fillId="5" borderId="57" xfId="0" applyFont="1" applyFill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5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5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66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67" xfId="0" applyFont="1" applyFill="1" applyBorder="1" applyAlignment="1">
      <alignment horizontal="center" vertical="center"/>
    </xf>
  </cellXfs>
  <cellStyles count="8">
    <cellStyle name="Hiperlink" xfId="6" builtinId="8"/>
    <cellStyle name="Moeda" xfId="1" builtinId="4"/>
    <cellStyle name="Normal" xfId="0" builtinId="0"/>
    <cellStyle name="Normal 12" xfId="4"/>
    <cellStyle name="Normal 2 2 2" xfId="5"/>
    <cellStyle name="Normal 3 2" xfId="3"/>
    <cellStyle name="Porcentagem" xfId="2" builtinId="5"/>
    <cellStyle name="Vírgula" xfId="7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jonasalves@jmtservice.com.br" TargetMode="External"/><Relationship Id="rId1" Type="http://schemas.openxmlformats.org/officeDocument/2006/relationships/hyperlink" Target="mailto:comercialjmt@uol.com.b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"/>
  <sheetViews>
    <sheetView workbookViewId="0">
      <selection activeCell="A17" sqref="A17:P17"/>
    </sheetView>
  </sheetViews>
  <sheetFormatPr defaultColWidth="0" defaultRowHeight="12.75" x14ac:dyDescent="0.25"/>
  <cols>
    <col min="1" max="1" width="2.5" style="101" customWidth="1"/>
    <col min="2" max="2" width="11" style="101" customWidth="1"/>
    <col min="3" max="3" width="0.875" style="101" customWidth="1"/>
    <col min="4" max="4" width="6.375" style="101" customWidth="1"/>
    <col min="5" max="5" width="2.625" style="101" customWidth="1"/>
    <col min="6" max="6" width="0.875" style="101" customWidth="1"/>
    <col min="7" max="7" width="2.375" style="101" customWidth="1"/>
    <col min="8" max="8" width="5.875" style="101" customWidth="1"/>
    <col min="9" max="9" width="6.5" style="101" customWidth="1"/>
    <col min="10" max="10" width="6.625" style="101" customWidth="1"/>
    <col min="11" max="11" width="3.625" style="101" customWidth="1"/>
    <col min="12" max="12" width="4" style="101" customWidth="1"/>
    <col min="13" max="13" width="1.125" style="101" customWidth="1"/>
    <col min="14" max="14" width="3" style="101" customWidth="1"/>
    <col min="15" max="15" width="7.625" style="101" customWidth="1"/>
    <col min="16" max="16" width="4" style="101" customWidth="1"/>
    <col min="17" max="17" width="4.875" style="101" customWidth="1"/>
    <col min="18" max="18" width="8.375" style="101" customWidth="1"/>
    <col min="19" max="19" width="10.625" style="101" customWidth="1"/>
    <col min="20" max="20" width="2.125" style="101" customWidth="1"/>
    <col min="21" max="21" width="1.875" style="101" customWidth="1"/>
    <col min="22" max="16384" width="9" style="101" hidden="1"/>
  </cols>
  <sheetData>
    <row r="1" spans="1:20" s="128" customFormat="1" ht="15" x14ac:dyDescent="0.25">
      <c r="A1" s="126"/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</row>
    <row r="2" spans="1:20" s="128" customFormat="1" ht="15" x14ac:dyDescent="0.2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</row>
    <row r="3" spans="1:20" s="130" customFormat="1" ht="15" x14ac:dyDescent="0.25">
      <c r="A3" s="126" t="s">
        <v>200</v>
      </c>
      <c r="B3" s="127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</row>
    <row r="4" spans="1:20" s="130" customFormat="1" ht="15" x14ac:dyDescent="0.25">
      <c r="A4" s="126" t="s">
        <v>201</v>
      </c>
      <c r="B4" s="127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</row>
    <row r="5" spans="1:20" s="130" customFormat="1" ht="15" x14ac:dyDescent="0.25">
      <c r="A5" s="126" t="s">
        <v>202</v>
      </c>
      <c r="B5" s="127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</row>
    <row r="6" spans="1:20" s="130" customFormat="1" ht="15" x14ac:dyDescent="0.25">
      <c r="A6" s="126" t="s">
        <v>203</v>
      </c>
      <c r="B6" s="127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</row>
    <row r="7" spans="1:20" s="130" customFormat="1" ht="15" x14ac:dyDescent="0.25">
      <c r="A7" s="126" t="s">
        <v>204</v>
      </c>
      <c r="B7" s="127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</row>
    <row r="8" spans="1:20" s="130" customFormat="1" ht="15" x14ac:dyDescent="0.25">
      <c r="A8" s="126" t="s">
        <v>205</v>
      </c>
      <c r="B8" s="127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</row>
    <row r="9" spans="1:20" s="130" customFormat="1" ht="15" x14ac:dyDescent="0.25">
      <c r="A9" s="126"/>
      <c r="B9" s="127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</row>
    <row r="10" spans="1:20" s="130" customFormat="1" ht="15" x14ac:dyDescent="0.25">
      <c r="A10" s="127"/>
      <c r="B10" s="127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</row>
    <row r="11" spans="1:20" s="130" customFormat="1" ht="15" x14ac:dyDescent="0.25">
      <c r="A11" s="126" t="s">
        <v>206</v>
      </c>
      <c r="B11" s="127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</row>
    <row r="12" spans="1:20" s="130" customFormat="1" ht="15" x14ac:dyDescent="0.25">
      <c r="A12" s="126" t="s">
        <v>207</v>
      </c>
      <c r="B12" s="127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</row>
    <row r="13" spans="1:20" s="130" customFormat="1" ht="15" x14ac:dyDescent="0.25">
      <c r="A13" s="126" t="s">
        <v>291</v>
      </c>
      <c r="B13" s="127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</row>
    <row r="14" spans="1:20" s="130" customFormat="1" ht="15" x14ac:dyDescent="0.25">
      <c r="A14" s="127"/>
      <c r="B14" s="127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29"/>
      <c r="S14" s="129"/>
    </row>
    <row r="15" spans="1:20" ht="48.2" customHeight="1" x14ac:dyDescent="0.25">
      <c r="A15" s="214" t="s">
        <v>263</v>
      </c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131"/>
    </row>
    <row r="16" spans="1:20" ht="12.75" customHeight="1" x14ac:dyDescent="0.25">
      <c r="A16" s="211" t="s">
        <v>208</v>
      </c>
      <c r="B16" s="213"/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2"/>
      <c r="Q16" s="211" t="s">
        <v>209</v>
      </c>
      <c r="R16" s="213"/>
      <c r="S16" s="212"/>
      <c r="T16" s="100"/>
    </row>
    <row r="17" spans="1:20" ht="19.5" customHeight="1" x14ac:dyDescent="0.25">
      <c r="A17" s="205" t="s">
        <v>264</v>
      </c>
      <c r="B17" s="206"/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207"/>
      <c r="Q17" s="208" t="s">
        <v>265</v>
      </c>
      <c r="R17" s="209"/>
      <c r="S17" s="210"/>
      <c r="T17" s="100"/>
    </row>
    <row r="18" spans="1:20" ht="20.25" customHeight="1" x14ac:dyDescent="0.25">
      <c r="A18" s="216" t="s">
        <v>210</v>
      </c>
      <c r="B18" s="217"/>
      <c r="C18" s="217"/>
      <c r="D18" s="217"/>
      <c r="E18" s="217"/>
      <c r="F18" s="217"/>
      <c r="G18" s="217"/>
      <c r="H18" s="217"/>
      <c r="I18" s="217"/>
      <c r="J18" s="217"/>
      <c r="K18" s="217"/>
      <c r="L18" s="217"/>
      <c r="M18" s="218"/>
      <c r="N18" s="216" t="s">
        <v>211</v>
      </c>
      <c r="O18" s="217"/>
      <c r="P18" s="218"/>
      <c r="Q18" s="216" t="s">
        <v>212</v>
      </c>
      <c r="R18" s="217"/>
      <c r="S18" s="218"/>
      <c r="T18" s="100"/>
    </row>
    <row r="19" spans="1:20" ht="42" customHeight="1" x14ac:dyDescent="0.25">
      <c r="A19" s="205" t="s">
        <v>282</v>
      </c>
      <c r="B19" s="206"/>
      <c r="C19" s="206"/>
      <c r="D19" s="206"/>
      <c r="E19" s="206"/>
      <c r="F19" s="206"/>
      <c r="G19" s="206"/>
      <c r="H19" s="206"/>
      <c r="I19" s="206"/>
      <c r="J19" s="206"/>
      <c r="K19" s="206"/>
      <c r="L19" s="206"/>
      <c r="M19" s="207"/>
      <c r="N19" s="208" t="s">
        <v>266</v>
      </c>
      <c r="O19" s="209"/>
      <c r="P19" s="210"/>
      <c r="Q19" s="208" t="s">
        <v>267</v>
      </c>
      <c r="R19" s="209"/>
      <c r="S19" s="210"/>
      <c r="T19" s="100"/>
    </row>
    <row r="20" spans="1:20" ht="21" customHeight="1" x14ac:dyDescent="0.25">
      <c r="A20" s="211" t="s">
        <v>213</v>
      </c>
      <c r="B20" s="212"/>
      <c r="C20" s="211" t="s">
        <v>214</v>
      </c>
      <c r="D20" s="213"/>
      <c r="E20" s="213"/>
      <c r="F20" s="213"/>
      <c r="G20" s="212"/>
      <c r="H20" s="211" t="s">
        <v>215</v>
      </c>
      <c r="I20" s="213"/>
      <c r="J20" s="213"/>
      <c r="K20" s="213"/>
      <c r="L20" s="213"/>
      <c r="M20" s="213"/>
      <c r="N20" s="213"/>
      <c r="O20" s="213"/>
      <c r="P20" s="212"/>
      <c r="Q20" s="211" t="s">
        <v>216</v>
      </c>
      <c r="R20" s="213"/>
      <c r="S20" s="212"/>
      <c r="T20" s="100"/>
    </row>
    <row r="21" spans="1:20" ht="37.5" customHeight="1" x14ac:dyDescent="0.25">
      <c r="A21" s="208" t="s">
        <v>268</v>
      </c>
      <c r="B21" s="210"/>
      <c r="C21" s="208" t="s">
        <v>269</v>
      </c>
      <c r="D21" s="209"/>
      <c r="E21" s="209"/>
      <c r="F21" s="209"/>
      <c r="G21" s="209"/>
      <c r="H21" s="219" t="s">
        <v>270</v>
      </c>
      <c r="I21" s="220"/>
      <c r="J21" s="220"/>
      <c r="K21" s="220"/>
      <c r="L21" s="220"/>
      <c r="M21" s="220"/>
      <c r="N21" s="220"/>
      <c r="O21" s="220"/>
      <c r="P21" s="221"/>
      <c r="Q21" s="208" t="s">
        <v>271</v>
      </c>
      <c r="R21" s="209"/>
      <c r="S21" s="210"/>
      <c r="T21" s="100"/>
    </row>
    <row r="22" spans="1:20" ht="18" customHeight="1" x14ac:dyDescent="0.25">
      <c r="A22" s="266"/>
      <c r="B22" s="266"/>
      <c r="C22" s="266"/>
      <c r="D22" s="266"/>
      <c r="E22" s="266"/>
      <c r="F22" s="266"/>
      <c r="G22" s="266"/>
      <c r="H22" s="266"/>
      <c r="I22" s="266"/>
      <c r="J22" s="266"/>
      <c r="K22" s="266"/>
      <c r="L22" s="266"/>
      <c r="M22" s="266"/>
      <c r="N22" s="266"/>
      <c r="O22" s="266"/>
      <c r="P22" s="266"/>
      <c r="Q22" s="266"/>
      <c r="R22" s="266"/>
      <c r="S22" s="266"/>
      <c r="T22" s="100"/>
    </row>
    <row r="23" spans="1:20" ht="20.25" customHeight="1" x14ac:dyDescent="0.25">
      <c r="A23" s="214" t="s">
        <v>217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102"/>
    </row>
    <row r="24" spans="1:20" ht="24.75" customHeight="1" x14ac:dyDescent="0.25">
      <c r="A24" s="211" t="s">
        <v>218</v>
      </c>
      <c r="B24" s="213"/>
      <c r="C24" s="213"/>
      <c r="D24" s="213"/>
      <c r="E24" s="213"/>
      <c r="F24" s="213"/>
      <c r="G24" s="213"/>
      <c r="H24" s="213"/>
      <c r="I24" s="213"/>
      <c r="J24" s="213"/>
      <c r="K24" s="213"/>
      <c r="L24" s="213"/>
      <c r="M24" s="213"/>
      <c r="N24" s="213"/>
      <c r="O24" s="213"/>
      <c r="P24" s="212"/>
      <c r="Q24" s="211" t="s">
        <v>219</v>
      </c>
      <c r="R24" s="213"/>
      <c r="S24" s="212"/>
      <c r="T24" s="100"/>
    </row>
    <row r="25" spans="1:20" ht="18" customHeight="1" x14ac:dyDescent="0.25">
      <c r="A25" s="205" t="s">
        <v>272</v>
      </c>
      <c r="B25" s="206"/>
      <c r="C25" s="206"/>
      <c r="D25" s="206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7"/>
      <c r="Q25" s="208" t="s">
        <v>273</v>
      </c>
      <c r="R25" s="209"/>
      <c r="S25" s="210"/>
      <c r="T25" s="100"/>
    </row>
    <row r="26" spans="1:20" ht="19.5" customHeight="1" x14ac:dyDescent="0.25">
      <c r="A26" s="211" t="s">
        <v>210</v>
      </c>
      <c r="B26" s="213"/>
      <c r="C26" s="213"/>
      <c r="D26" s="213"/>
      <c r="E26" s="213"/>
      <c r="F26" s="213"/>
      <c r="G26" s="213"/>
      <c r="H26" s="213"/>
      <c r="I26" s="213"/>
      <c r="J26" s="213"/>
      <c r="K26" s="213"/>
      <c r="L26" s="213"/>
      <c r="M26" s="212"/>
      <c r="N26" s="211" t="s">
        <v>211</v>
      </c>
      <c r="O26" s="213"/>
      <c r="P26" s="212"/>
      <c r="Q26" s="211" t="s">
        <v>212</v>
      </c>
      <c r="R26" s="213"/>
      <c r="S26" s="212"/>
      <c r="T26" s="100"/>
    </row>
    <row r="27" spans="1:20" ht="21.75" customHeight="1" x14ac:dyDescent="0.25">
      <c r="A27" s="205" t="s">
        <v>274</v>
      </c>
      <c r="B27" s="206"/>
      <c r="C27" s="206"/>
      <c r="D27" s="206"/>
      <c r="E27" s="206"/>
      <c r="F27" s="206"/>
      <c r="G27" s="206"/>
      <c r="H27" s="206"/>
      <c r="I27" s="206"/>
      <c r="J27" s="206"/>
      <c r="K27" s="206"/>
      <c r="L27" s="206"/>
      <c r="M27" s="207"/>
      <c r="N27" s="208" t="s">
        <v>275</v>
      </c>
      <c r="O27" s="209"/>
      <c r="P27" s="210"/>
      <c r="Q27" s="208" t="s">
        <v>267</v>
      </c>
      <c r="R27" s="209"/>
      <c r="S27" s="210"/>
      <c r="T27" s="100"/>
    </row>
    <row r="28" spans="1:20" ht="22.5" customHeight="1" x14ac:dyDescent="0.25">
      <c r="A28" s="211" t="s">
        <v>213</v>
      </c>
      <c r="B28" s="212"/>
      <c r="C28" s="211" t="s">
        <v>214</v>
      </c>
      <c r="D28" s="213"/>
      <c r="E28" s="213"/>
      <c r="F28" s="213"/>
      <c r="G28" s="212"/>
      <c r="H28" s="211" t="s">
        <v>215</v>
      </c>
      <c r="I28" s="213"/>
      <c r="J28" s="213"/>
      <c r="K28" s="213"/>
      <c r="L28" s="213"/>
      <c r="M28" s="213"/>
      <c r="N28" s="213"/>
      <c r="O28" s="213"/>
      <c r="P28" s="212"/>
      <c r="Q28" s="211" t="s">
        <v>216</v>
      </c>
      <c r="R28" s="213"/>
      <c r="S28" s="212"/>
      <c r="T28" s="100"/>
    </row>
    <row r="29" spans="1:20" ht="26.25" customHeight="1" x14ac:dyDescent="0.25">
      <c r="A29" s="208" t="s">
        <v>268</v>
      </c>
      <c r="B29" s="210"/>
      <c r="C29" s="208" t="s">
        <v>276</v>
      </c>
      <c r="D29" s="209"/>
      <c r="E29" s="209"/>
      <c r="F29" s="209"/>
      <c r="G29" s="209"/>
      <c r="H29" s="219" t="s">
        <v>277</v>
      </c>
      <c r="I29" s="220"/>
      <c r="J29" s="220"/>
      <c r="K29" s="220"/>
      <c r="L29" s="220"/>
      <c r="M29" s="220"/>
      <c r="N29" s="220"/>
      <c r="O29" s="220"/>
      <c r="P29" s="221"/>
      <c r="Q29" s="228" t="s">
        <v>271</v>
      </c>
      <c r="R29" s="229"/>
      <c r="S29" s="230"/>
    </row>
    <row r="30" spans="1:20" ht="26.25" customHeight="1" x14ac:dyDescent="0.25">
      <c r="A30" s="213" t="s">
        <v>278</v>
      </c>
      <c r="B30" s="213"/>
      <c r="C30" s="213"/>
      <c r="D30" s="213"/>
      <c r="E30" s="213"/>
      <c r="F30" s="213"/>
      <c r="G30" s="213"/>
      <c r="H30" s="213"/>
      <c r="I30" s="213"/>
      <c r="J30" s="213"/>
      <c r="K30" s="213"/>
      <c r="L30" s="213"/>
      <c r="M30" s="213"/>
      <c r="N30" s="213"/>
      <c r="O30" s="213"/>
      <c r="P30" s="213"/>
      <c r="Q30" s="213"/>
      <c r="R30" s="213"/>
      <c r="S30" s="213"/>
      <c r="T30" s="102"/>
    </row>
    <row r="31" spans="1:20" ht="51.75" customHeight="1" x14ac:dyDescent="0.25">
      <c r="A31" s="222" t="s">
        <v>220</v>
      </c>
      <c r="B31" s="223"/>
      <c r="C31" s="224"/>
      <c r="D31" s="205" t="s">
        <v>221</v>
      </c>
      <c r="E31" s="206"/>
      <c r="F31" s="207"/>
      <c r="G31" s="222" t="s">
        <v>222</v>
      </c>
      <c r="H31" s="223"/>
      <c r="I31" s="224"/>
      <c r="J31" s="225">
        <v>44377</v>
      </c>
      <c r="K31" s="209"/>
      <c r="L31" s="210"/>
      <c r="M31" s="216" t="s">
        <v>283</v>
      </c>
      <c r="N31" s="226"/>
      <c r="O31" s="227"/>
      <c r="P31" s="208" t="s">
        <v>223</v>
      </c>
      <c r="Q31" s="209"/>
      <c r="R31" s="209"/>
      <c r="S31" s="210"/>
      <c r="T31" s="100"/>
    </row>
    <row r="32" spans="1:20" ht="15" x14ac:dyDescent="0.25">
      <c r="A32" s="213"/>
      <c r="B32" s="213"/>
      <c r="C32" s="213"/>
      <c r="D32" s="213"/>
      <c r="E32" s="213"/>
      <c r="F32" s="213"/>
      <c r="G32" s="213"/>
      <c r="H32" s="213"/>
      <c r="I32" s="213"/>
      <c r="J32" s="213"/>
      <c r="K32" s="213"/>
      <c r="L32" s="213"/>
      <c r="M32" s="213"/>
      <c r="N32" s="213"/>
      <c r="O32" s="213"/>
      <c r="P32" s="213"/>
      <c r="Q32" s="213"/>
      <c r="R32" s="213"/>
      <c r="S32" s="213"/>
      <c r="T32" s="100"/>
    </row>
    <row r="33" spans="1:20" ht="19.7" customHeight="1" x14ac:dyDescent="0.25">
      <c r="A33" s="216" t="s">
        <v>224</v>
      </c>
      <c r="B33" s="217"/>
      <c r="C33" s="217"/>
      <c r="D33" s="217"/>
      <c r="E33" s="217"/>
      <c r="F33" s="217"/>
      <c r="G33" s="217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8"/>
      <c r="T33" s="100"/>
    </row>
    <row r="34" spans="1:20" ht="105" customHeight="1" x14ac:dyDescent="0.25">
      <c r="A34" s="240" t="s">
        <v>225</v>
      </c>
      <c r="B34" s="241"/>
      <c r="C34" s="241"/>
      <c r="D34" s="241"/>
      <c r="E34" s="241"/>
      <c r="F34" s="241"/>
      <c r="G34" s="241"/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41"/>
      <c r="S34" s="242"/>
    </row>
    <row r="35" spans="1:20" x14ac:dyDescent="0.25">
      <c r="A35" s="243"/>
      <c r="B35" s="243"/>
      <c r="C35" s="243"/>
      <c r="D35" s="243"/>
      <c r="E35" s="243"/>
      <c r="F35" s="243"/>
      <c r="G35" s="243"/>
      <c r="H35" s="243"/>
      <c r="I35" s="243"/>
      <c r="J35" s="243"/>
      <c r="K35" s="243"/>
      <c r="L35" s="243"/>
      <c r="M35" s="243"/>
      <c r="N35" s="243"/>
      <c r="O35" s="243"/>
      <c r="P35" s="243"/>
      <c r="Q35" s="243"/>
      <c r="R35" s="243"/>
      <c r="S35" s="243"/>
    </row>
    <row r="36" spans="1:20" ht="18.75" customHeight="1" thickBot="1" x14ac:dyDescent="0.3">
      <c r="A36" s="268" t="s">
        <v>226</v>
      </c>
      <c r="B36" s="268"/>
      <c r="C36" s="268"/>
      <c r="D36" s="268"/>
      <c r="E36" s="268"/>
      <c r="F36" s="268"/>
      <c r="G36" s="268"/>
      <c r="H36" s="268"/>
      <c r="I36" s="268"/>
      <c r="J36" s="268"/>
      <c r="K36" s="268"/>
      <c r="L36" s="268"/>
      <c r="M36" s="268"/>
      <c r="N36" s="268"/>
      <c r="O36" s="268"/>
      <c r="P36" s="268"/>
      <c r="Q36" s="268"/>
      <c r="R36" s="268"/>
      <c r="S36" s="268"/>
      <c r="T36" s="103"/>
    </row>
    <row r="37" spans="1:20" ht="43.5" customHeight="1" thickBot="1" x14ac:dyDescent="0.3">
      <c r="A37" s="244" t="s">
        <v>284</v>
      </c>
      <c r="B37" s="245"/>
      <c r="C37" s="245"/>
      <c r="D37" s="245"/>
      <c r="E37" s="245"/>
      <c r="F37" s="245"/>
      <c r="G37" s="245"/>
      <c r="H37" s="245"/>
      <c r="I37" s="245"/>
      <c r="J37" s="245"/>
      <c r="K37" s="245"/>
      <c r="L37" s="245"/>
      <c r="M37" s="245"/>
      <c r="N37" s="245"/>
      <c r="O37" s="245"/>
      <c r="P37" s="245"/>
      <c r="Q37" s="245"/>
      <c r="R37" s="245"/>
      <c r="S37" s="246"/>
      <c r="T37" s="103"/>
    </row>
    <row r="38" spans="1:20" ht="33.75" customHeight="1" thickBot="1" x14ac:dyDescent="0.3">
      <c r="A38" s="247">
        <v>1</v>
      </c>
      <c r="B38" s="250" t="s">
        <v>227</v>
      </c>
      <c r="C38" s="251"/>
      <c r="D38" s="251"/>
      <c r="E38" s="251"/>
      <c r="F38" s="251"/>
      <c r="G38" s="252"/>
      <c r="H38" s="253" t="s">
        <v>228</v>
      </c>
      <c r="I38" s="254"/>
      <c r="J38" s="254"/>
      <c r="K38" s="254"/>
      <c r="L38" s="254"/>
      <c r="M38" s="254"/>
      <c r="N38" s="254"/>
      <c r="O38" s="254"/>
      <c r="P38" s="254"/>
      <c r="Q38" s="254"/>
      <c r="R38" s="254"/>
      <c r="S38" s="255"/>
      <c r="T38" s="100"/>
    </row>
    <row r="39" spans="1:20" ht="50.25" customHeight="1" x14ac:dyDescent="0.25">
      <c r="A39" s="248"/>
      <c r="B39" s="237" t="s">
        <v>229</v>
      </c>
      <c r="C39" s="238"/>
      <c r="D39" s="238"/>
      <c r="E39" s="238"/>
      <c r="F39" s="238"/>
      <c r="G39" s="239"/>
      <c r="H39" s="253" t="s">
        <v>230</v>
      </c>
      <c r="I39" s="254"/>
      <c r="J39" s="254"/>
      <c r="K39" s="254"/>
      <c r="L39" s="254"/>
      <c r="M39" s="254"/>
      <c r="N39" s="254"/>
      <c r="O39" s="254"/>
      <c r="P39" s="254"/>
      <c r="Q39" s="254"/>
      <c r="R39" s="254"/>
      <c r="S39" s="255"/>
      <c r="T39" s="100"/>
    </row>
    <row r="40" spans="1:20" ht="18" customHeight="1" x14ac:dyDescent="0.25">
      <c r="A40" s="248"/>
      <c r="B40" s="222" t="s">
        <v>231</v>
      </c>
      <c r="C40" s="206"/>
      <c r="D40" s="206"/>
      <c r="E40" s="206"/>
      <c r="F40" s="206"/>
      <c r="G40" s="207"/>
      <c r="H40" s="205" t="s">
        <v>232</v>
      </c>
      <c r="I40" s="206"/>
      <c r="J40" s="206"/>
      <c r="K40" s="206"/>
      <c r="L40" s="206"/>
      <c r="M40" s="206"/>
      <c r="N40" s="206"/>
      <c r="O40" s="206"/>
      <c r="P40" s="206"/>
      <c r="Q40" s="206"/>
      <c r="R40" s="206"/>
      <c r="S40" s="207"/>
      <c r="T40" s="100"/>
    </row>
    <row r="41" spans="1:20" ht="18" customHeight="1" x14ac:dyDescent="0.25">
      <c r="A41" s="248"/>
      <c r="B41" s="231" t="s">
        <v>233</v>
      </c>
      <c r="C41" s="232"/>
      <c r="D41" s="232"/>
      <c r="E41" s="232"/>
      <c r="F41" s="232"/>
      <c r="G41" s="233"/>
      <c r="H41" s="234" t="s">
        <v>234</v>
      </c>
      <c r="I41" s="235"/>
      <c r="J41" s="235"/>
      <c r="K41" s="235"/>
      <c r="L41" s="235"/>
      <c r="M41" s="235"/>
      <c r="N41" s="235"/>
      <c r="O41" s="235"/>
      <c r="P41" s="235"/>
      <c r="Q41" s="235"/>
      <c r="R41" s="235"/>
      <c r="S41" s="236"/>
      <c r="T41" s="100"/>
    </row>
    <row r="42" spans="1:20" ht="18" customHeight="1" thickBot="1" x14ac:dyDescent="0.3">
      <c r="A42" s="249"/>
      <c r="B42" s="237" t="s">
        <v>235</v>
      </c>
      <c r="C42" s="238"/>
      <c r="D42" s="238"/>
      <c r="E42" s="238"/>
      <c r="F42" s="238"/>
      <c r="G42" s="239"/>
      <c r="H42" s="205" t="s">
        <v>236</v>
      </c>
      <c r="I42" s="206"/>
      <c r="J42" s="206"/>
      <c r="K42" s="206"/>
      <c r="L42" s="206"/>
      <c r="M42" s="206"/>
      <c r="N42" s="206"/>
      <c r="O42" s="206"/>
      <c r="P42" s="206"/>
      <c r="Q42" s="206"/>
      <c r="R42" s="206"/>
      <c r="S42" s="207"/>
      <c r="T42" s="100"/>
    </row>
    <row r="43" spans="1:20" ht="33.75" customHeight="1" thickBot="1" x14ac:dyDescent="0.3">
      <c r="A43" s="247">
        <v>2</v>
      </c>
      <c r="B43" s="250" t="s">
        <v>227</v>
      </c>
      <c r="C43" s="251"/>
      <c r="D43" s="251"/>
      <c r="E43" s="251"/>
      <c r="F43" s="251"/>
      <c r="G43" s="252"/>
      <c r="H43" s="253" t="s">
        <v>228</v>
      </c>
      <c r="I43" s="254"/>
      <c r="J43" s="254"/>
      <c r="K43" s="254"/>
      <c r="L43" s="254"/>
      <c r="M43" s="254"/>
      <c r="N43" s="254"/>
      <c r="O43" s="254"/>
      <c r="P43" s="254"/>
      <c r="Q43" s="254"/>
      <c r="R43" s="254"/>
      <c r="S43" s="255"/>
      <c r="T43" s="100"/>
    </row>
    <row r="44" spans="1:20" ht="50.25" customHeight="1" x14ac:dyDescent="0.25">
      <c r="A44" s="248"/>
      <c r="B44" s="237" t="s">
        <v>229</v>
      </c>
      <c r="C44" s="238"/>
      <c r="D44" s="238"/>
      <c r="E44" s="238"/>
      <c r="F44" s="238"/>
      <c r="G44" s="239"/>
      <c r="H44" s="253" t="s">
        <v>230</v>
      </c>
      <c r="I44" s="254"/>
      <c r="J44" s="254"/>
      <c r="K44" s="254"/>
      <c r="L44" s="254"/>
      <c r="M44" s="254"/>
      <c r="N44" s="254"/>
      <c r="O44" s="254"/>
      <c r="P44" s="254"/>
      <c r="Q44" s="254"/>
      <c r="R44" s="254"/>
      <c r="S44" s="255"/>
      <c r="T44" s="100"/>
    </row>
    <row r="45" spans="1:20" ht="18" customHeight="1" x14ac:dyDescent="0.25">
      <c r="A45" s="248"/>
      <c r="B45" s="222" t="s">
        <v>231</v>
      </c>
      <c r="C45" s="206"/>
      <c r="D45" s="206"/>
      <c r="E45" s="206"/>
      <c r="F45" s="206"/>
      <c r="G45" s="207"/>
      <c r="H45" s="205" t="s">
        <v>237</v>
      </c>
      <c r="I45" s="206"/>
      <c r="J45" s="206"/>
      <c r="K45" s="206"/>
      <c r="L45" s="206"/>
      <c r="M45" s="206"/>
      <c r="N45" s="206"/>
      <c r="O45" s="206"/>
      <c r="P45" s="206"/>
      <c r="Q45" s="206"/>
      <c r="R45" s="206"/>
      <c r="S45" s="207"/>
      <c r="T45" s="100"/>
    </row>
    <row r="46" spans="1:20" ht="18" customHeight="1" x14ac:dyDescent="0.25">
      <c r="A46" s="248"/>
      <c r="B46" s="231" t="s">
        <v>233</v>
      </c>
      <c r="C46" s="232"/>
      <c r="D46" s="232"/>
      <c r="E46" s="232"/>
      <c r="F46" s="232"/>
      <c r="G46" s="233"/>
      <c r="H46" s="234" t="s">
        <v>238</v>
      </c>
      <c r="I46" s="235"/>
      <c r="J46" s="235"/>
      <c r="K46" s="235"/>
      <c r="L46" s="235"/>
      <c r="M46" s="235"/>
      <c r="N46" s="235"/>
      <c r="O46" s="235"/>
      <c r="P46" s="235"/>
      <c r="Q46" s="235"/>
      <c r="R46" s="235"/>
      <c r="S46" s="236"/>
      <c r="T46" s="100"/>
    </row>
    <row r="47" spans="1:20" ht="18" customHeight="1" thickBot="1" x14ac:dyDescent="0.3">
      <c r="A47" s="249"/>
      <c r="B47" s="237" t="s">
        <v>235</v>
      </c>
      <c r="C47" s="238"/>
      <c r="D47" s="238"/>
      <c r="E47" s="238"/>
      <c r="F47" s="238"/>
      <c r="G47" s="239"/>
      <c r="H47" s="205" t="s">
        <v>236</v>
      </c>
      <c r="I47" s="206"/>
      <c r="J47" s="206"/>
      <c r="K47" s="206"/>
      <c r="L47" s="206"/>
      <c r="M47" s="206"/>
      <c r="N47" s="206"/>
      <c r="O47" s="206"/>
      <c r="P47" s="206"/>
      <c r="Q47" s="206"/>
      <c r="R47" s="206"/>
      <c r="S47" s="207"/>
      <c r="T47" s="100"/>
    </row>
    <row r="48" spans="1:20" ht="38.25" customHeight="1" thickBot="1" x14ac:dyDescent="0.3">
      <c r="A48" s="244" t="s">
        <v>285</v>
      </c>
      <c r="B48" s="245"/>
      <c r="C48" s="245"/>
      <c r="D48" s="245"/>
      <c r="E48" s="245"/>
      <c r="F48" s="245"/>
      <c r="G48" s="245"/>
      <c r="H48" s="245"/>
      <c r="I48" s="245"/>
      <c r="J48" s="245"/>
      <c r="K48" s="245"/>
      <c r="L48" s="245"/>
      <c r="M48" s="245"/>
      <c r="N48" s="245"/>
      <c r="O48" s="245"/>
      <c r="P48" s="245"/>
      <c r="Q48" s="245"/>
      <c r="R48" s="245"/>
      <c r="S48" s="246"/>
      <c r="T48" s="100"/>
    </row>
    <row r="49" spans="1:20" ht="37.5" customHeight="1" thickBot="1" x14ac:dyDescent="0.3">
      <c r="A49" s="248">
        <v>3</v>
      </c>
      <c r="B49" s="231" t="s">
        <v>227</v>
      </c>
      <c r="C49" s="232"/>
      <c r="D49" s="232"/>
      <c r="E49" s="232"/>
      <c r="F49" s="232"/>
      <c r="G49" s="233"/>
      <c r="H49" s="253" t="s">
        <v>228</v>
      </c>
      <c r="I49" s="254"/>
      <c r="J49" s="254"/>
      <c r="K49" s="254"/>
      <c r="L49" s="254"/>
      <c r="M49" s="254"/>
      <c r="N49" s="254"/>
      <c r="O49" s="254"/>
      <c r="P49" s="254"/>
      <c r="Q49" s="254"/>
      <c r="R49" s="254"/>
      <c r="S49" s="255"/>
      <c r="T49" s="100"/>
    </row>
    <row r="50" spans="1:20" ht="38.25" customHeight="1" x14ac:dyDescent="0.25">
      <c r="A50" s="248"/>
      <c r="B50" s="237" t="s">
        <v>229</v>
      </c>
      <c r="C50" s="238"/>
      <c r="D50" s="238"/>
      <c r="E50" s="238"/>
      <c r="F50" s="238"/>
      <c r="G50" s="239"/>
      <c r="H50" s="253" t="s">
        <v>239</v>
      </c>
      <c r="I50" s="254"/>
      <c r="J50" s="254"/>
      <c r="K50" s="254"/>
      <c r="L50" s="254"/>
      <c r="M50" s="254"/>
      <c r="N50" s="254"/>
      <c r="O50" s="254"/>
      <c r="P50" s="254"/>
      <c r="Q50" s="254"/>
      <c r="R50" s="254"/>
      <c r="S50" s="255"/>
      <c r="T50" s="100"/>
    </row>
    <row r="51" spans="1:20" ht="18" customHeight="1" x14ac:dyDescent="0.25">
      <c r="A51" s="248"/>
      <c r="B51" s="237" t="s">
        <v>231</v>
      </c>
      <c r="C51" s="206"/>
      <c r="D51" s="206"/>
      <c r="E51" s="206"/>
      <c r="F51" s="206"/>
      <c r="G51" s="207"/>
      <c r="H51" s="205" t="s">
        <v>240</v>
      </c>
      <c r="I51" s="206"/>
      <c r="J51" s="206"/>
      <c r="K51" s="206"/>
      <c r="L51" s="206"/>
      <c r="M51" s="206"/>
      <c r="N51" s="206"/>
      <c r="O51" s="206"/>
      <c r="P51" s="206"/>
      <c r="Q51" s="206"/>
      <c r="R51" s="206"/>
      <c r="S51" s="207"/>
      <c r="T51" s="100"/>
    </row>
    <row r="52" spans="1:20" ht="18" customHeight="1" x14ac:dyDescent="0.25">
      <c r="A52" s="248"/>
      <c r="B52" s="237" t="s">
        <v>233</v>
      </c>
      <c r="C52" s="238"/>
      <c r="D52" s="238"/>
      <c r="E52" s="238"/>
      <c r="F52" s="238"/>
      <c r="G52" s="239"/>
      <c r="H52" s="205" t="s">
        <v>234</v>
      </c>
      <c r="I52" s="206"/>
      <c r="J52" s="206"/>
      <c r="K52" s="206"/>
      <c r="L52" s="206"/>
      <c r="M52" s="206"/>
      <c r="N52" s="206"/>
      <c r="O52" s="206"/>
      <c r="P52" s="206"/>
      <c r="Q52" s="206"/>
      <c r="R52" s="206"/>
      <c r="S52" s="207"/>
      <c r="T52" s="100"/>
    </row>
    <row r="53" spans="1:20" ht="18" customHeight="1" x14ac:dyDescent="0.25">
      <c r="A53" s="249"/>
      <c r="B53" s="237" t="s">
        <v>235</v>
      </c>
      <c r="C53" s="238"/>
      <c r="D53" s="238"/>
      <c r="E53" s="238"/>
      <c r="F53" s="238"/>
      <c r="G53" s="239"/>
      <c r="H53" s="205" t="s">
        <v>236</v>
      </c>
      <c r="I53" s="206"/>
      <c r="J53" s="206"/>
      <c r="K53" s="206"/>
      <c r="L53" s="206"/>
      <c r="M53" s="206"/>
      <c r="N53" s="206"/>
      <c r="O53" s="206"/>
      <c r="P53" s="206"/>
      <c r="Q53" s="206"/>
      <c r="R53" s="206"/>
      <c r="S53" s="207"/>
      <c r="T53" s="100"/>
    </row>
    <row r="54" spans="1:20" ht="18" customHeight="1" x14ac:dyDescent="0.25">
      <c r="A54" s="267"/>
      <c r="B54" s="267"/>
      <c r="C54" s="267"/>
      <c r="D54" s="267"/>
      <c r="E54" s="267"/>
      <c r="F54" s="267"/>
      <c r="G54" s="267"/>
      <c r="H54" s="267"/>
      <c r="I54" s="267"/>
      <c r="J54" s="267"/>
      <c r="K54" s="267"/>
      <c r="L54" s="267"/>
      <c r="M54" s="267"/>
      <c r="N54" s="267"/>
      <c r="O54" s="267"/>
      <c r="P54" s="267"/>
      <c r="Q54" s="267"/>
      <c r="R54" s="267"/>
      <c r="S54" s="267"/>
      <c r="T54" s="100"/>
    </row>
    <row r="55" spans="1:20" ht="15" customHeight="1" x14ac:dyDescent="0.25">
      <c r="A55" s="269" t="s">
        <v>241</v>
      </c>
      <c r="B55" s="269"/>
      <c r="C55" s="269"/>
      <c r="D55" s="269"/>
      <c r="E55" s="269"/>
      <c r="F55" s="269"/>
      <c r="G55" s="269"/>
      <c r="H55" s="269"/>
      <c r="I55" s="269"/>
      <c r="J55" s="269"/>
      <c r="K55" s="269"/>
      <c r="L55" s="269"/>
      <c r="M55" s="269"/>
      <c r="N55" s="269"/>
      <c r="O55" s="269"/>
      <c r="P55" s="269"/>
      <c r="Q55" s="269"/>
      <c r="R55" s="269"/>
      <c r="S55" s="269"/>
      <c r="T55" s="104"/>
    </row>
    <row r="56" spans="1:20" ht="18.75" customHeight="1" x14ac:dyDescent="0.25">
      <c r="A56" s="216" t="s">
        <v>242</v>
      </c>
      <c r="B56" s="217"/>
      <c r="C56" s="217"/>
      <c r="D56" s="217"/>
      <c r="E56" s="217"/>
      <c r="F56" s="217"/>
      <c r="G56" s="217"/>
      <c r="H56" s="217"/>
      <c r="I56" s="217"/>
      <c r="J56" s="218"/>
      <c r="K56" s="259" t="s">
        <v>243</v>
      </c>
      <c r="L56" s="260"/>
      <c r="M56" s="260"/>
      <c r="N56" s="260"/>
      <c r="O56" s="260"/>
      <c r="P56" s="260"/>
      <c r="Q56" s="260"/>
      <c r="R56" s="260"/>
      <c r="S56" s="261"/>
    </row>
    <row r="57" spans="1:20" ht="23.25" customHeight="1" x14ac:dyDescent="0.25">
      <c r="A57" s="262" t="s">
        <v>244</v>
      </c>
      <c r="B57" s="263"/>
      <c r="C57" s="263"/>
      <c r="D57" s="263"/>
      <c r="E57" s="263"/>
      <c r="F57" s="263"/>
      <c r="G57" s="263"/>
      <c r="H57" s="263"/>
      <c r="I57" s="263"/>
      <c r="J57" s="264"/>
      <c r="K57" s="262" t="s">
        <v>286</v>
      </c>
      <c r="L57" s="263"/>
      <c r="M57" s="263"/>
      <c r="N57" s="263"/>
      <c r="O57" s="263"/>
      <c r="P57" s="263"/>
      <c r="Q57" s="263"/>
      <c r="R57" s="263"/>
      <c r="S57" s="264"/>
    </row>
    <row r="58" spans="1:20" ht="33" customHeight="1" x14ac:dyDescent="0.25">
      <c r="A58" s="213" t="s">
        <v>246</v>
      </c>
      <c r="B58" s="213"/>
      <c r="C58" s="213"/>
      <c r="D58" s="213"/>
      <c r="E58" s="213"/>
      <c r="F58" s="213"/>
      <c r="G58" s="213"/>
      <c r="H58" s="213"/>
      <c r="I58" s="213"/>
      <c r="J58" s="213"/>
      <c r="K58" s="213"/>
      <c r="L58" s="213"/>
      <c r="M58" s="213"/>
      <c r="N58" s="213"/>
      <c r="O58" s="213"/>
      <c r="P58" s="213"/>
      <c r="Q58" s="213"/>
      <c r="R58" s="213"/>
      <c r="S58" s="213"/>
      <c r="T58" s="105"/>
    </row>
    <row r="59" spans="1:20" ht="16.5" customHeight="1" x14ac:dyDescent="0.25">
      <c r="A59" s="275" t="s">
        <v>279</v>
      </c>
      <c r="B59" s="226"/>
      <c r="C59" s="226"/>
      <c r="D59" s="226"/>
      <c r="E59" s="226"/>
      <c r="F59" s="226"/>
      <c r="G59" s="226"/>
      <c r="H59" s="226"/>
      <c r="I59" s="226"/>
      <c r="J59" s="227"/>
      <c r="K59" s="275" t="s">
        <v>280</v>
      </c>
      <c r="L59" s="226"/>
      <c r="M59" s="226"/>
      <c r="N59" s="226"/>
      <c r="O59" s="226"/>
      <c r="P59" s="226"/>
      <c r="Q59" s="226"/>
      <c r="R59" s="226"/>
      <c r="S59" s="227"/>
    </row>
    <row r="60" spans="1:20" ht="26.25" customHeight="1" x14ac:dyDescent="0.25">
      <c r="A60" s="208">
        <v>515</v>
      </c>
      <c r="B60" s="209"/>
      <c r="C60" s="209"/>
      <c r="D60" s="209"/>
      <c r="E60" s="209"/>
      <c r="F60" s="209"/>
      <c r="G60" s="209"/>
      <c r="H60" s="209"/>
      <c r="I60" s="209"/>
      <c r="J60" s="210"/>
      <c r="K60" s="208">
        <v>1.0403</v>
      </c>
      <c r="L60" s="209"/>
      <c r="M60" s="209"/>
      <c r="N60" s="209"/>
      <c r="O60" s="209"/>
      <c r="P60" s="209"/>
      <c r="Q60" s="209"/>
      <c r="R60" s="209"/>
      <c r="S60" s="210"/>
    </row>
    <row r="61" spans="1:20" ht="21" customHeight="1" x14ac:dyDescent="0.25">
      <c r="A61" s="276" t="s">
        <v>281</v>
      </c>
      <c r="B61" s="277"/>
      <c r="C61" s="277"/>
      <c r="D61" s="277"/>
      <c r="E61" s="277"/>
      <c r="F61" s="277"/>
      <c r="G61" s="277"/>
      <c r="H61" s="277"/>
      <c r="I61" s="277"/>
      <c r="J61" s="277"/>
      <c r="K61" s="277"/>
      <c r="L61" s="277"/>
      <c r="M61" s="277"/>
      <c r="N61" s="277"/>
      <c r="O61" s="277"/>
      <c r="P61" s="277"/>
      <c r="Q61" s="277"/>
      <c r="R61" s="277"/>
      <c r="S61" s="278"/>
    </row>
    <row r="62" spans="1:20" ht="42.75" customHeight="1" x14ac:dyDescent="0.25">
      <c r="A62" s="256" t="s">
        <v>12</v>
      </c>
      <c r="B62" s="258"/>
      <c r="C62" s="257"/>
      <c r="D62" s="256" t="s">
        <v>16</v>
      </c>
      <c r="E62" s="257"/>
      <c r="F62" s="256" t="s">
        <v>14</v>
      </c>
      <c r="G62" s="258"/>
      <c r="H62" s="257"/>
      <c r="I62" s="256" t="s">
        <v>100</v>
      </c>
      <c r="J62" s="257"/>
      <c r="K62" s="256" t="s">
        <v>114</v>
      </c>
      <c r="L62" s="258"/>
      <c r="M62" s="258"/>
      <c r="N62" s="257"/>
      <c r="O62" s="256" t="s">
        <v>115</v>
      </c>
      <c r="P62" s="258"/>
      <c r="Q62" s="257"/>
      <c r="R62" s="106" t="s">
        <v>116</v>
      </c>
      <c r="S62" s="106" t="s">
        <v>9</v>
      </c>
    </row>
    <row r="63" spans="1:20" ht="24.75" customHeight="1" x14ac:dyDescent="0.25">
      <c r="A63" s="270">
        <v>0.2</v>
      </c>
      <c r="B63" s="209"/>
      <c r="C63" s="210"/>
      <c r="D63" s="271">
        <v>3.1209000000000001E-2</v>
      </c>
      <c r="E63" s="272"/>
      <c r="F63" s="270">
        <v>0</v>
      </c>
      <c r="G63" s="209"/>
      <c r="H63" s="210"/>
      <c r="I63" s="270">
        <v>0</v>
      </c>
      <c r="J63" s="273"/>
      <c r="K63" s="270">
        <v>0</v>
      </c>
      <c r="L63" s="274"/>
      <c r="M63" s="274"/>
      <c r="N63" s="273"/>
      <c r="O63" s="270">
        <v>0</v>
      </c>
      <c r="P63" s="274"/>
      <c r="Q63" s="273"/>
      <c r="R63" s="107">
        <v>0</v>
      </c>
      <c r="S63" s="107">
        <v>0.08</v>
      </c>
    </row>
    <row r="64" spans="1:20" ht="9.75" customHeight="1" x14ac:dyDescent="0.25">
      <c r="A64" s="265" t="s">
        <v>245</v>
      </c>
      <c r="B64" s="265"/>
      <c r="C64" s="265"/>
      <c r="D64" s="265"/>
      <c r="E64" s="265"/>
      <c r="F64" s="265"/>
      <c r="G64" s="265"/>
      <c r="H64" s="265"/>
      <c r="I64" s="265"/>
      <c r="J64" s="265"/>
      <c r="K64" s="265"/>
      <c r="L64" s="265"/>
      <c r="M64" s="265"/>
      <c r="N64" s="265"/>
      <c r="O64" s="265"/>
      <c r="P64" s="265"/>
      <c r="Q64" s="265"/>
      <c r="R64" s="265"/>
      <c r="S64" s="265"/>
      <c r="T64" s="265"/>
    </row>
  </sheetData>
  <mergeCells count="111">
    <mergeCell ref="A64:T64"/>
    <mergeCell ref="A22:S22"/>
    <mergeCell ref="A32:S32"/>
    <mergeCell ref="A54:S54"/>
    <mergeCell ref="A23:S23"/>
    <mergeCell ref="A30:S30"/>
    <mergeCell ref="A36:S36"/>
    <mergeCell ref="A55:S55"/>
    <mergeCell ref="A58:S58"/>
    <mergeCell ref="O62:Q62"/>
    <mergeCell ref="A63:C63"/>
    <mergeCell ref="D63:E63"/>
    <mergeCell ref="F63:H63"/>
    <mergeCell ref="I63:J63"/>
    <mergeCell ref="K63:N63"/>
    <mergeCell ref="O63:Q63"/>
    <mergeCell ref="A59:J59"/>
    <mergeCell ref="K59:S59"/>
    <mergeCell ref="A60:J60"/>
    <mergeCell ref="K60:S60"/>
    <mergeCell ref="A61:S61"/>
    <mergeCell ref="A62:C62"/>
    <mergeCell ref="D62:E62"/>
    <mergeCell ref="F62:H62"/>
    <mergeCell ref="I62:J62"/>
    <mergeCell ref="K62:N62"/>
    <mergeCell ref="A56:J56"/>
    <mergeCell ref="K56:S56"/>
    <mergeCell ref="A57:J57"/>
    <mergeCell ref="K57:S57"/>
    <mergeCell ref="H52:S52"/>
    <mergeCell ref="B53:G53"/>
    <mergeCell ref="H53:S53"/>
    <mergeCell ref="H47:S47"/>
    <mergeCell ref="A48:S48"/>
    <mergeCell ref="A49:A53"/>
    <mergeCell ref="B49:G49"/>
    <mergeCell ref="H49:S49"/>
    <mergeCell ref="B50:G50"/>
    <mergeCell ref="H50:S50"/>
    <mergeCell ref="B51:G51"/>
    <mergeCell ref="H51:S51"/>
    <mergeCell ref="B52:G52"/>
    <mergeCell ref="A43:A47"/>
    <mergeCell ref="B43:G43"/>
    <mergeCell ref="H43:S43"/>
    <mergeCell ref="B44:G44"/>
    <mergeCell ref="H44:S44"/>
    <mergeCell ref="B45:G45"/>
    <mergeCell ref="H45:S45"/>
    <mergeCell ref="B46:G46"/>
    <mergeCell ref="H46:S46"/>
    <mergeCell ref="B47:G47"/>
    <mergeCell ref="B40:G40"/>
    <mergeCell ref="H40:S40"/>
    <mergeCell ref="B41:G41"/>
    <mergeCell ref="H41:S41"/>
    <mergeCell ref="B42:G42"/>
    <mergeCell ref="H42:S42"/>
    <mergeCell ref="A33:S33"/>
    <mergeCell ref="A34:S34"/>
    <mergeCell ref="A35:S35"/>
    <mergeCell ref="A37:S37"/>
    <mergeCell ref="A38:A42"/>
    <mergeCell ref="B38:G38"/>
    <mergeCell ref="H38:S38"/>
    <mergeCell ref="B39:G39"/>
    <mergeCell ref="H39:S39"/>
    <mergeCell ref="A31:C31"/>
    <mergeCell ref="D31:F31"/>
    <mergeCell ref="G31:I31"/>
    <mergeCell ref="J31:L31"/>
    <mergeCell ref="M31:O31"/>
    <mergeCell ref="P31:S31"/>
    <mergeCell ref="A28:B28"/>
    <mergeCell ref="C28:G28"/>
    <mergeCell ref="H28:P28"/>
    <mergeCell ref="Q28:S28"/>
    <mergeCell ref="A29:B29"/>
    <mergeCell ref="C29:G29"/>
    <mergeCell ref="H29:P29"/>
    <mergeCell ref="Q29:S29"/>
    <mergeCell ref="A25:P25"/>
    <mergeCell ref="Q25:S25"/>
    <mergeCell ref="A26:M26"/>
    <mergeCell ref="N26:P26"/>
    <mergeCell ref="Q26:S26"/>
    <mergeCell ref="A27:M27"/>
    <mergeCell ref="N27:P27"/>
    <mergeCell ref="Q27:S27"/>
    <mergeCell ref="A21:B21"/>
    <mergeCell ref="C21:G21"/>
    <mergeCell ref="H21:P21"/>
    <mergeCell ref="Q21:S21"/>
    <mergeCell ref="A24:P24"/>
    <mergeCell ref="Q24:S24"/>
    <mergeCell ref="A19:M19"/>
    <mergeCell ref="N19:P19"/>
    <mergeCell ref="Q19:S19"/>
    <mergeCell ref="A20:B20"/>
    <mergeCell ref="C20:G20"/>
    <mergeCell ref="H20:P20"/>
    <mergeCell ref="Q20:S20"/>
    <mergeCell ref="A15:S15"/>
    <mergeCell ref="A16:P16"/>
    <mergeCell ref="Q16:S16"/>
    <mergeCell ref="A17:P17"/>
    <mergeCell ref="Q17:S17"/>
    <mergeCell ref="A18:M18"/>
    <mergeCell ref="N18:P18"/>
    <mergeCell ref="Q18:S18"/>
  </mergeCells>
  <hyperlinks>
    <hyperlink ref="H21" r:id="rId1"/>
    <hyperlink ref="H29" r:id="rId2"/>
  </hyperlinks>
  <pageMargins left="0.55118110236220474" right="0.51181102362204722" top="1.1811023622047245" bottom="1.5748031496062993" header="0.31496062992125984" footer="0.31496062992125984"/>
  <pageSetup paperSize="9" scale="80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"/>
  <sheetViews>
    <sheetView topLeftCell="Q1" zoomScale="130" zoomScaleNormal="130" workbookViewId="0">
      <selection activeCell="AD6" sqref="AD6"/>
    </sheetView>
  </sheetViews>
  <sheetFormatPr defaultRowHeight="15.75" x14ac:dyDescent="0.25"/>
  <cols>
    <col min="1" max="1" width="2.5" customWidth="1"/>
    <col min="2" max="2" width="2.625" customWidth="1"/>
    <col min="3" max="3" width="4.25" customWidth="1"/>
    <col min="4" max="4" width="2.875" customWidth="1"/>
    <col min="5" max="5" width="6.625" customWidth="1"/>
    <col min="6" max="6" width="8.25" customWidth="1"/>
    <col min="7" max="7" width="9.5" customWidth="1"/>
    <col min="8" max="8" width="6.25" customWidth="1"/>
    <col min="9" max="9" width="3.25" customWidth="1"/>
    <col min="10" max="10" width="7.25" customWidth="1"/>
    <col min="11" max="11" width="7.625" customWidth="1"/>
    <col min="12" max="12" width="9.25" customWidth="1"/>
    <col min="13" max="13" width="6.25" customWidth="1"/>
    <col min="14" max="14" width="3.25" customWidth="1"/>
    <col min="15" max="15" width="6.875" customWidth="1"/>
    <col min="16" max="16" width="8.75" customWidth="1"/>
    <col min="17" max="17" width="9.5" customWidth="1"/>
    <col min="18" max="18" width="6.625" customWidth="1"/>
    <col min="19" max="19" width="3.375" customWidth="1"/>
    <col min="20" max="20" width="6.625" customWidth="1"/>
    <col min="21" max="21" width="9.5" customWidth="1"/>
    <col min="22" max="22" width="10.25" customWidth="1"/>
    <col min="23" max="23" width="6.375" customWidth="1"/>
    <col min="24" max="24" width="3.75" customWidth="1"/>
    <col min="25" max="25" width="7.75" customWidth="1"/>
    <col min="26" max="26" width="7.875" customWidth="1"/>
    <col min="27" max="27" width="10.125" customWidth="1"/>
    <col min="28" max="28" width="6.25" customWidth="1"/>
    <col min="29" max="29" width="3.875" customWidth="1"/>
    <col min="30" max="30" width="9.75" customWidth="1"/>
    <col min="31" max="31" width="10.625" customWidth="1"/>
    <col min="32" max="32" width="11.375" customWidth="1"/>
  </cols>
  <sheetData>
    <row r="1" spans="1:32" ht="20.25" customHeight="1" thickBot="1" x14ac:dyDescent="0.3">
      <c r="A1" s="295" t="s">
        <v>95</v>
      </c>
      <c r="B1" s="295" t="s">
        <v>177</v>
      </c>
      <c r="C1" s="298" t="s">
        <v>175</v>
      </c>
      <c r="D1" s="285" t="s">
        <v>97</v>
      </c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  <c r="T1" s="286"/>
      <c r="U1" s="286"/>
      <c r="V1" s="286"/>
      <c r="W1" s="286"/>
      <c r="X1" s="286"/>
      <c r="Y1" s="286"/>
      <c r="Z1" s="286"/>
      <c r="AA1" s="286"/>
      <c r="AB1" s="286"/>
      <c r="AC1" s="279" t="s">
        <v>52</v>
      </c>
      <c r="AD1" s="280"/>
      <c r="AE1" s="280"/>
      <c r="AF1" s="281"/>
    </row>
    <row r="2" spans="1:32" ht="24.75" customHeight="1" x14ac:dyDescent="0.25">
      <c r="A2" s="296"/>
      <c r="B2" s="296"/>
      <c r="C2" s="299"/>
      <c r="D2" s="287" t="s">
        <v>36</v>
      </c>
      <c r="E2" s="288"/>
      <c r="F2" s="288"/>
      <c r="G2" s="288"/>
      <c r="H2" s="289"/>
      <c r="I2" s="290" t="s">
        <v>37</v>
      </c>
      <c r="J2" s="291"/>
      <c r="K2" s="291"/>
      <c r="L2" s="291"/>
      <c r="M2" s="292"/>
      <c r="N2" s="287" t="s">
        <v>38</v>
      </c>
      <c r="O2" s="288"/>
      <c r="P2" s="288"/>
      <c r="Q2" s="288"/>
      <c r="R2" s="289"/>
      <c r="S2" s="290" t="s">
        <v>39</v>
      </c>
      <c r="T2" s="291"/>
      <c r="U2" s="291"/>
      <c r="V2" s="291"/>
      <c r="W2" s="292"/>
      <c r="X2" s="287" t="s">
        <v>40</v>
      </c>
      <c r="Y2" s="288"/>
      <c r="Z2" s="288"/>
      <c r="AA2" s="288"/>
      <c r="AB2" s="289"/>
      <c r="AC2" s="293" t="s">
        <v>113</v>
      </c>
      <c r="AD2" s="282" t="s">
        <v>111</v>
      </c>
      <c r="AE2" s="283"/>
      <c r="AF2" s="284"/>
    </row>
    <row r="3" spans="1:32" ht="55.5" customHeight="1" x14ac:dyDescent="0.25">
      <c r="A3" s="297"/>
      <c r="B3" s="297"/>
      <c r="C3" s="300"/>
      <c r="D3" s="170" t="s">
        <v>113</v>
      </c>
      <c r="E3" s="171" t="s">
        <v>176</v>
      </c>
      <c r="F3" s="171" t="s">
        <v>180</v>
      </c>
      <c r="G3" s="171" t="s">
        <v>181</v>
      </c>
      <c r="H3" s="172" t="s">
        <v>96</v>
      </c>
      <c r="I3" s="175" t="s">
        <v>113</v>
      </c>
      <c r="J3" s="176" t="s">
        <v>176</v>
      </c>
      <c r="K3" s="176" t="s">
        <v>180</v>
      </c>
      <c r="L3" s="176" t="s">
        <v>181</v>
      </c>
      <c r="M3" s="177" t="s">
        <v>96</v>
      </c>
      <c r="N3" s="170" t="s">
        <v>113</v>
      </c>
      <c r="O3" s="171" t="s">
        <v>176</v>
      </c>
      <c r="P3" s="171" t="s">
        <v>180</v>
      </c>
      <c r="Q3" s="171" t="s">
        <v>181</v>
      </c>
      <c r="R3" s="172" t="s">
        <v>96</v>
      </c>
      <c r="S3" s="175" t="s">
        <v>113</v>
      </c>
      <c r="T3" s="176" t="s">
        <v>176</v>
      </c>
      <c r="U3" s="176" t="s">
        <v>180</v>
      </c>
      <c r="V3" s="176" t="s">
        <v>181</v>
      </c>
      <c r="W3" s="177" t="s">
        <v>96</v>
      </c>
      <c r="X3" s="170" t="s">
        <v>113</v>
      </c>
      <c r="Y3" s="171" t="s">
        <v>176</v>
      </c>
      <c r="Z3" s="171" t="s">
        <v>180</v>
      </c>
      <c r="AA3" s="171" t="s">
        <v>181</v>
      </c>
      <c r="AB3" s="172" t="s">
        <v>96</v>
      </c>
      <c r="AC3" s="294"/>
      <c r="AD3" s="182" t="s">
        <v>82</v>
      </c>
      <c r="AE3" s="183" t="s">
        <v>178</v>
      </c>
      <c r="AF3" s="184" t="s">
        <v>179</v>
      </c>
    </row>
    <row r="4" spans="1:32" ht="16.5" x14ac:dyDescent="0.25">
      <c r="A4" s="301">
        <v>16</v>
      </c>
      <c r="B4" s="295" t="s">
        <v>182</v>
      </c>
      <c r="C4" s="111" t="s">
        <v>99</v>
      </c>
      <c r="D4" s="134">
        <v>9</v>
      </c>
      <c r="E4" s="304">
        <f>ROUND('Precificação Total'!G$85,2)</f>
        <v>3253.48</v>
      </c>
      <c r="F4" s="135">
        <f>D4*$E$4</f>
        <v>29281.32</v>
      </c>
      <c r="G4" s="135">
        <f>F4*28</f>
        <v>819876.96</v>
      </c>
      <c r="H4" s="136">
        <v>44318</v>
      </c>
      <c r="I4" s="134">
        <v>11</v>
      </c>
      <c r="J4" s="304">
        <f>ROUND('Precificação Total'!J$85,2)</f>
        <v>5353.46</v>
      </c>
      <c r="K4" s="135">
        <f>I4*$J$4</f>
        <v>58888.06</v>
      </c>
      <c r="L4" s="135">
        <f t="shared" ref="L4:L5" si="0">K4*28</f>
        <v>1648865.68</v>
      </c>
      <c r="M4" s="136">
        <v>44318</v>
      </c>
      <c r="N4" s="134">
        <v>27</v>
      </c>
      <c r="O4" s="304">
        <f>ROUND('Precificação Total'!M$85,2)</f>
        <v>4234.68</v>
      </c>
      <c r="P4" s="135">
        <f>N4*$O$4</f>
        <v>114336.36000000002</v>
      </c>
      <c r="Q4" s="135">
        <f t="shared" ref="Q4:Q5" si="1">P4*28</f>
        <v>3201418.0800000005</v>
      </c>
      <c r="R4" s="136">
        <v>44318</v>
      </c>
      <c r="S4" s="134">
        <v>24</v>
      </c>
      <c r="T4" s="304">
        <f>ROUND('Precificação Total'!P$85,2)</f>
        <v>8926.76</v>
      </c>
      <c r="U4" s="135">
        <f>S4*$T$4</f>
        <v>214242.24</v>
      </c>
      <c r="V4" s="135">
        <f t="shared" ref="V4:V5" si="2">U4*28</f>
        <v>5998782.7199999997</v>
      </c>
      <c r="W4" s="136">
        <v>44318</v>
      </c>
      <c r="X4" s="134">
        <v>113</v>
      </c>
      <c r="Y4" s="304">
        <f>ROUND('Precificação Total'!S$85,2)</f>
        <v>4914.47</v>
      </c>
      <c r="Z4" s="135">
        <f>X4*$Y$4</f>
        <v>555335.11</v>
      </c>
      <c r="AA4" s="135">
        <f t="shared" ref="AA4:AA5" si="3">Z4*28</f>
        <v>15549383.08</v>
      </c>
      <c r="AB4" s="136">
        <v>44318</v>
      </c>
      <c r="AC4" s="134">
        <f>D4+I4+N4+S4+X4</f>
        <v>184</v>
      </c>
      <c r="AD4" s="138">
        <f>F4+K4+P4+U4+Z4</f>
        <v>972083.09</v>
      </c>
      <c r="AE4" s="138">
        <f t="shared" ref="AE4:AE5" si="4">AD4*12</f>
        <v>11664997.08</v>
      </c>
      <c r="AF4" s="139">
        <f t="shared" ref="AF4:AF5" si="5">AD4*28</f>
        <v>27218326.52</v>
      </c>
    </row>
    <row r="5" spans="1:32" x14ac:dyDescent="0.25">
      <c r="A5" s="302"/>
      <c r="B5" s="296"/>
      <c r="C5" s="111" t="s">
        <v>98</v>
      </c>
      <c r="D5" s="134">
        <v>35</v>
      </c>
      <c r="E5" s="305"/>
      <c r="F5" s="135">
        <f>D5*$E$4</f>
        <v>113871.8</v>
      </c>
      <c r="G5" s="135">
        <f t="shared" ref="G5" si="6">F5*28</f>
        <v>3188410.4</v>
      </c>
      <c r="H5" s="136">
        <v>44202</v>
      </c>
      <c r="I5" s="134">
        <v>0</v>
      </c>
      <c r="J5" s="305"/>
      <c r="K5" s="135">
        <f>I5*$J$4</f>
        <v>0</v>
      </c>
      <c r="L5" s="135">
        <f t="shared" si="0"/>
        <v>0</v>
      </c>
      <c r="M5" s="137" t="s">
        <v>112</v>
      </c>
      <c r="N5" s="134">
        <v>6</v>
      </c>
      <c r="O5" s="305"/>
      <c r="P5" s="135">
        <f>N5*$O$4</f>
        <v>25408.080000000002</v>
      </c>
      <c r="Q5" s="135">
        <f t="shared" si="1"/>
        <v>711426.24</v>
      </c>
      <c r="R5" s="136">
        <v>44202</v>
      </c>
      <c r="S5" s="134">
        <v>0</v>
      </c>
      <c r="T5" s="305"/>
      <c r="U5" s="135">
        <f>S5*$T$4</f>
        <v>0</v>
      </c>
      <c r="V5" s="135">
        <f t="shared" si="2"/>
        <v>0</v>
      </c>
      <c r="W5" s="137" t="s">
        <v>112</v>
      </c>
      <c r="X5" s="134">
        <v>0</v>
      </c>
      <c r="Y5" s="305"/>
      <c r="Z5" s="135">
        <f>X5*$Y$4</f>
        <v>0</v>
      </c>
      <c r="AA5" s="135">
        <f t="shared" si="3"/>
        <v>0</v>
      </c>
      <c r="AB5" s="137" t="s">
        <v>112</v>
      </c>
      <c r="AC5" s="134">
        <f>D5+I5+N5+S5+X5</f>
        <v>41</v>
      </c>
      <c r="AD5" s="138">
        <f>F5+K5+P5+U5+Z5</f>
        <v>139279.88</v>
      </c>
      <c r="AE5" s="138">
        <f t="shared" si="4"/>
        <v>1671358.56</v>
      </c>
      <c r="AF5" s="139">
        <f t="shared" si="5"/>
        <v>3899836.64</v>
      </c>
    </row>
    <row r="6" spans="1:32" ht="16.5" thickBot="1" x14ac:dyDescent="0.3">
      <c r="A6" s="303"/>
      <c r="B6" s="297"/>
      <c r="C6" s="111" t="s">
        <v>52</v>
      </c>
      <c r="D6" s="140">
        <f>SUM(D4:D5)</f>
        <v>44</v>
      </c>
      <c r="E6" s="173" t="s">
        <v>112</v>
      </c>
      <c r="F6" s="141">
        <f t="shared" ref="F6:AF6" si="7">SUM(F4:F5)</f>
        <v>143153.12</v>
      </c>
      <c r="G6" s="141">
        <f>SUM(G4:G5)</f>
        <v>4008287.36</v>
      </c>
      <c r="H6" s="174" t="s">
        <v>112</v>
      </c>
      <c r="I6" s="178">
        <f t="shared" si="7"/>
        <v>11</v>
      </c>
      <c r="J6" s="179" t="s">
        <v>112</v>
      </c>
      <c r="K6" s="180">
        <f t="shared" si="7"/>
        <v>58888.06</v>
      </c>
      <c r="L6" s="180">
        <f t="shared" si="7"/>
        <v>1648865.68</v>
      </c>
      <c r="M6" s="181" t="s">
        <v>112</v>
      </c>
      <c r="N6" s="140">
        <f t="shared" si="7"/>
        <v>33</v>
      </c>
      <c r="O6" s="173" t="s">
        <v>112</v>
      </c>
      <c r="P6" s="141">
        <f t="shared" si="7"/>
        <v>139744.44</v>
      </c>
      <c r="Q6" s="141">
        <f t="shared" si="7"/>
        <v>3912844.3200000003</v>
      </c>
      <c r="R6" s="174" t="s">
        <v>112</v>
      </c>
      <c r="S6" s="178">
        <f t="shared" si="7"/>
        <v>24</v>
      </c>
      <c r="T6" s="179" t="s">
        <v>112</v>
      </c>
      <c r="U6" s="180">
        <f t="shared" si="7"/>
        <v>214242.24</v>
      </c>
      <c r="V6" s="180">
        <f t="shared" si="7"/>
        <v>5998782.7199999997</v>
      </c>
      <c r="W6" s="181" t="s">
        <v>112</v>
      </c>
      <c r="X6" s="140">
        <f t="shared" si="7"/>
        <v>113</v>
      </c>
      <c r="Y6" s="173" t="s">
        <v>112</v>
      </c>
      <c r="Z6" s="141">
        <f t="shared" si="7"/>
        <v>555335.11</v>
      </c>
      <c r="AA6" s="141">
        <f t="shared" si="7"/>
        <v>15549383.08</v>
      </c>
      <c r="AB6" s="174" t="s">
        <v>112</v>
      </c>
      <c r="AC6" s="178">
        <f t="shared" si="7"/>
        <v>225</v>
      </c>
      <c r="AD6" s="180">
        <f t="shared" si="7"/>
        <v>1111362.97</v>
      </c>
      <c r="AE6" s="180">
        <f t="shared" si="7"/>
        <v>13336355.640000001</v>
      </c>
      <c r="AF6" s="185">
        <f t="shared" si="7"/>
        <v>31118163.16</v>
      </c>
    </row>
    <row r="7" spans="1:32" x14ac:dyDescent="0.25">
      <c r="G7" s="50"/>
    </row>
    <row r="10" spans="1:32" x14ac:dyDescent="0.25">
      <c r="AA10" s="20"/>
    </row>
    <row r="11" spans="1:32" x14ac:dyDescent="0.25">
      <c r="AA11" s="20"/>
    </row>
  </sheetData>
  <mergeCells count="19">
    <mergeCell ref="O4:O5"/>
    <mergeCell ref="J4:J5"/>
    <mergeCell ref="E4:E5"/>
    <mergeCell ref="T4:T5"/>
    <mergeCell ref="Y4:Y5"/>
    <mergeCell ref="A1:A3"/>
    <mergeCell ref="C1:C3"/>
    <mergeCell ref="B1:B3"/>
    <mergeCell ref="A4:A6"/>
    <mergeCell ref="B4:B6"/>
    <mergeCell ref="AC1:AF1"/>
    <mergeCell ref="AD2:AF2"/>
    <mergeCell ref="D1:AB1"/>
    <mergeCell ref="D2:H2"/>
    <mergeCell ref="I2:M2"/>
    <mergeCell ref="N2:R2"/>
    <mergeCell ref="S2:W2"/>
    <mergeCell ref="X2:AB2"/>
    <mergeCell ref="AC2:AC3"/>
  </mergeCells>
  <pageMargins left="0.31496062992125984" right="0.31496062992125984" top="0.78740157480314965" bottom="0.78740157480314965" header="0.31496062992125984" footer="0.31496062992125984"/>
  <pageSetup paperSize="9" scale="5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98"/>
  <sheetViews>
    <sheetView tabSelected="1" topLeftCell="A72" zoomScale="84" zoomScaleNormal="84" workbookViewId="0">
      <selection activeCell="A87" sqref="A87:F87"/>
    </sheetView>
  </sheetViews>
  <sheetFormatPr defaultRowHeight="15.75" x14ac:dyDescent="0.25"/>
  <cols>
    <col min="4" max="4" width="12.5" customWidth="1"/>
    <col min="5" max="5" width="28.75" customWidth="1"/>
    <col min="6" max="6" width="2.625" customWidth="1"/>
    <col min="7" max="7" width="11.5" customWidth="1"/>
    <col min="8" max="8" width="11.5" bestFit="1" customWidth="1"/>
    <col min="9" max="9" width="12.875" bestFit="1" customWidth="1"/>
    <col min="10" max="10" width="10.625" customWidth="1"/>
    <col min="11" max="11" width="10.625" bestFit="1" customWidth="1"/>
    <col min="12" max="12" width="12.625" bestFit="1" customWidth="1"/>
    <col min="13" max="13" width="10.25" customWidth="1"/>
    <col min="14" max="14" width="12.375" customWidth="1"/>
    <col min="15" max="15" width="12.625" bestFit="1" customWidth="1"/>
    <col min="16" max="16" width="12.25" customWidth="1"/>
    <col min="17" max="17" width="12" customWidth="1"/>
    <col min="18" max="18" width="12.625" bestFit="1" customWidth="1"/>
    <col min="19" max="19" width="11.375" customWidth="1"/>
    <col min="20" max="20" width="12" customWidth="1"/>
    <col min="21" max="21" width="14.125" bestFit="1" customWidth="1"/>
    <col min="22" max="22" width="12.5" customWidth="1"/>
    <col min="23" max="23" width="12.75" customWidth="1"/>
  </cols>
  <sheetData>
    <row r="1" spans="1:28" ht="16.5" thickBot="1" x14ac:dyDescent="0.3">
      <c r="A1" s="324" t="s">
        <v>188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6"/>
    </row>
    <row r="2" spans="1:28" ht="38.25" customHeight="1" x14ac:dyDescent="0.25">
      <c r="A2" s="321" t="s">
        <v>76</v>
      </c>
      <c r="B2" s="311" t="s">
        <v>49</v>
      </c>
      <c r="C2" s="311" t="s">
        <v>74</v>
      </c>
      <c r="D2" s="311" t="s">
        <v>0</v>
      </c>
      <c r="E2" s="82" t="s">
        <v>103</v>
      </c>
      <c r="F2" s="83"/>
      <c r="G2" s="330" t="s">
        <v>36</v>
      </c>
      <c r="H2" s="331"/>
      <c r="I2" s="332"/>
      <c r="J2" s="330" t="s">
        <v>37</v>
      </c>
      <c r="K2" s="331"/>
      <c r="L2" s="332"/>
      <c r="M2" s="330" t="s">
        <v>38</v>
      </c>
      <c r="N2" s="331"/>
      <c r="O2" s="332"/>
      <c r="P2" s="330" t="s">
        <v>39</v>
      </c>
      <c r="Q2" s="331"/>
      <c r="R2" s="332"/>
      <c r="S2" s="330" t="s">
        <v>40</v>
      </c>
      <c r="T2" s="331"/>
      <c r="U2" s="332"/>
      <c r="V2" s="330" t="s">
        <v>52</v>
      </c>
      <c r="W2" s="332"/>
    </row>
    <row r="3" spans="1:28" x14ac:dyDescent="0.25">
      <c r="A3" s="322"/>
      <c r="B3" s="312"/>
      <c r="C3" s="312"/>
      <c r="D3" s="312"/>
      <c r="E3" s="84"/>
      <c r="F3" s="85"/>
      <c r="G3" s="88" t="s">
        <v>51</v>
      </c>
      <c r="H3" s="76" t="s">
        <v>2</v>
      </c>
      <c r="I3" s="77"/>
      <c r="J3" s="88" t="s">
        <v>51</v>
      </c>
      <c r="K3" s="76" t="s">
        <v>2</v>
      </c>
      <c r="L3" s="77"/>
      <c r="M3" s="88" t="s">
        <v>51</v>
      </c>
      <c r="N3" s="76" t="s">
        <v>2</v>
      </c>
      <c r="O3" s="77"/>
      <c r="P3" s="88" t="s">
        <v>51</v>
      </c>
      <c r="Q3" s="76" t="s">
        <v>2</v>
      </c>
      <c r="R3" s="77"/>
      <c r="S3" s="88" t="s">
        <v>51</v>
      </c>
      <c r="T3" s="76" t="s">
        <v>2</v>
      </c>
      <c r="U3" s="77"/>
      <c r="V3" s="306" t="s">
        <v>51</v>
      </c>
      <c r="W3" s="307"/>
    </row>
    <row r="4" spans="1:28" x14ac:dyDescent="0.25">
      <c r="A4" s="322"/>
      <c r="B4" s="312"/>
      <c r="C4" s="312"/>
      <c r="D4" s="312"/>
      <c r="E4" s="84"/>
      <c r="F4" s="85"/>
      <c r="G4" s="89">
        <v>44</v>
      </c>
      <c r="H4" s="78">
        <v>1278.71</v>
      </c>
      <c r="I4" s="79"/>
      <c r="J4" s="89">
        <v>11</v>
      </c>
      <c r="K4" s="78">
        <v>2469</v>
      </c>
      <c r="L4" s="79"/>
      <c r="M4" s="89">
        <v>33</v>
      </c>
      <c r="N4" s="78">
        <v>1826.64</v>
      </c>
      <c r="O4" s="79"/>
      <c r="P4" s="89">
        <v>24</v>
      </c>
      <c r="Q4" s="78">
        <v>4440</v>
      </c>
      <c r="R4" s="79"/>
      <c r="S4" s="89">
        <v>113</v>
      </c>
      <c r="T4" s="78">
        <v>2220</v>
      </c>
      <c r="U4" s="79"/>
      <c r="V4" s="306">
        <f>G4+J4+M4+P4+S4</f>
        <v>225</v>
      </c>
      <c r="W4" s="307"/>
    </row>
    <row r="5" spans="1:28" ht="51" x14ac:dyDescent="0.25">
      <c r="A5" s="323"/>
      <c r="B5" s="313"/>
      <c r="C5" s="313"/>
      <c r="D5" s="313"/>
      <c r="E5" s="86"/>
      <c r="F5" s="87"/>
      <c r="G5" s="25" t="s">
        <v>183</v>
      </c>
      <c r="H5" s="22" t="s">
        <v>184</v>
      </c>
      <c r="I5" s="26" t="s">
        <v>185</v>
      </c>
      <c r="J5" s="25" t="s">
        <v>183</v>
      </c>
      <c r="K5" s="22" t="s">
        <v>184</v>
      </c>
      <c r="L5" s="26" t="s">
        <v>185</v>
      </c>
      <c r="M5" s="25" t="s">
        <v>183</v>
      </c>
      <c r="N5" s="22" t="s">
        <v>184</v>
      </c>
      <c r="O5" s="26" t="s">
        <v>185</v>
      </c>
      <c r="P5" s="25" t="s">
        <v>183</v>
      </c>
      <c r="Q5" s="22" t="s">
        <v>184</v>
      </c>
      <c r="R5" s="26" t="s">
        <v>185</v>
      </c>
      <c r="S5" s="25" t="s">
        <v>183</v>
      </c>
      <c r="T5" s="22" t="s">
        <v>184</v>
      </c>
      <c r="U5" s="26" t="s">
        <v>185</v>
      </c>
      <c r="V5" s="40" t="s">
        <v>184</v>
      </c>
      <c r="W5" s="166" t="s">
        <v>186</v>
      </c>
    </row>
    <row r="6" spans="1:28" ht="15.75" customHeight="1" x14ac:dyDescent="0.25">
      <c r="A6" s="321" t="s">
        <v>82</v>
      </c>
      <c r="B6" s="327" t="s">
        <v>2</v>
      </c>
      <c r="C6" s="3" t="s">
        <v>1</v>
      </c>
      <c r="D6" s="4" t="s">
        <v>2</v>
      </c>
      <c r="E6" s="69" t="s">
        <v>101</v>
      </c>
      <c r="F6" s="70"/>
      <c r="G6" s="27">
        <f>H4/28*26</f>
        <v>1187.3735714285715</v>
      </c>
      <c r="H6" s="5">
        <f t="shared" ref="H6:H37" si="0">ROUND(G6*$G$4,2)</f>
        <v>52244.44</v>
      </c>
      <c r="I6" s="28">
        <f>H6*28</f>
        <v>1462844.32</v>
      </c>
      <c r="J6" s="27">
        <f>K4/28*26</f>
        <v>2292.6428571428573</v>
      </c>
      <c r="K6" s="5">
        <f>J6*$J$4</f>
        <v>25219.071428571431</v>
      </c>
      <c r="L6" s="28">
        <f>K6*28</f>
        <v>706134.00000000012</v>
      </c>
      <c r="M6" s="27">
        <f>N4/28*26</f>
        <v>1696.1657142857143</v>
      </c>
      <c r="N6" s="5">
        <f>M6*$M$4</f>
        <v>55973.468571428573</v>
      </c>
      <c r="O6" s="28">
        <f t="shared" ref="O6:O69" si="1">N6*28</f>
        <v>1567257.12</v>
      </c>
      <c r="P6" s="27">
        <f>Q4/28*26</f>
        <v>4122.8571428571431</v>
      </c>
      <c r="Q6" s="5">
        <f>P6*$P$4</f>
        <v>98948.571428571435</v>
      </c>
      <c r="R6" s="28">
        <f>Q6*28</f>
        <v>2770560</v>
      </c>
      <c r="S6" s="27">
        <f>T4/28*26</f>
        <v>2061.4285714285716</v>
      </c>
      <c r="T6" s="5">
        <f>S6*$S$4</f>
        <v>232941.42857142858</v>
      </c>
      <c r="U6" s="28">
        <f>T6*28</f>
        <v>6522360</v>
      </c>
      <c r="V6" s="27">
        <f t="shared" ref="V6:V37" si="2">H6+K6+N6+Q6+T6</f>
        <v>465326.98000000004</v>
      </c>
      <c r="W6" s="28">
        <f>V6*28</f>
        <v>13029155.440000001</v>
      </c>
    </row>
    <row r="7" spans="1:28" x14ac:dyDescent="0.25">
      <c r="A7" s="322"/>
      <c r="B7" s="328"/>
      <c r="C7" s="3" t="s">
        <v>3</v>
      </c>
      <c r="D7" s="4" t="s">
        <v>9</v>
      </c>
      <c r="E7" s="69" t="s">
        <v>71</v>
      </c>
      <c r="F7" s="70"/>
      <c r="G7" s="27">
        <f>G6*8%</f>
        <v>94.98988571428572</v>
      </c>
      <c r="H7" s="5">
        <f t="shared" si="0"/>
        <v>4179.55</v>
      </c>
      <c r="I7" s="28">
        <f t="shared" ref="I7:I69" si="3">H7*28</f>
        <v>117027.40000000001</v>
      </c>
      <c r="J7" s="27">
        <f>J6*8%</f>
        <v>183.41142857142859</v>
      </c>
      <c r="K7" s="5">
        <f>J7*$J$4</f>
        <v>2017.5257142857145</v>
      </c>
      <c r="L7" s="28">
        <f t="shared" ref="L7:L69" si="4">K7*28</f>
        <v>56490.720000000001</v>
      </c>
      <c r="M7" s="27">
        <f>M6*8%</f>
        <v>135.69325714285714</v>
      </c>
      <c r="N7" s="5">
        <f>M7*$M$4</f>
        <v>4477.8774857142853</v>
      </c>
      <c r="O7" s="28">
        <f t="shared" si="1"/>
        <v>125380.56959999999</v>
      </c>
      <c r="P7" s="27">
        <f>P6*8%</f>
        <v>329.82857142857148</v>
      </c>
      <c r="Q7" s="5">
        <f>P7*$P$4</f>
        <v>7915.8857142857159</v>
      </c>
      <c r="R7" s="28">
        <f t="shared" ref="R7:R69" si="5">Q7*28</f>
        <v>221644.80000000005</v>
      </c>
      <c r="S7" s="27">
        <f>S6*8%</f>
        <v>164.91428571428574</v>
      </c>
      <c r="T7" s="5">
        <f>S7*$S$4</f>
        <v>18635.314285714288</v>
      </c>
      <c r="U7" s="28">
        <f t="shared" ref="U7:U69" si="6">T7*28</f>
        <v>521788.80000000005</v>
      </c>
      <c r="V7" s="27">
        <f t="shared" si="2"/>
        <v>37226.153200000001</v>
      </c>
      <c r="W7" s="28">
        <f t="shared" ref="W7:W70" si="7">V7*28</f>
        <v>1042332.2896</v>
      </c>
    </row>
    <row r="8" spans="1:28" x14ac:dyDescent="0.25">
      <c r="A8" s="322"/>
      <c r="B8" s="328"/>
      <c r="C8" s="3" t="s">
        <v>4</v>
      </c>
      <c r="D8" s="4" t="s">
        <v>12</v>
      </c>
      <c r="E8" s="69" t="s">
        <v>192</v>
      </c>
      <c r="F8" s="70"/>
      <c r="G8" s="27">
        <f>G6*20%</f>
        <v>237.4747142857143</v>
      </c>
      <c r="H8" s="5">
        <f t="shared" si="0"/>
        <v>10448.89</v>
      </c>
      <c r="I8" s="28">
        <f t="shared" si="3"/>
        <v>292568.92</v>
      </c>
      <c r="J8" s="27">
        <f>J6*20%</f>
        <v>458.52857142857147</v>
      </c>
      <c r="K8" s="5">
        <f>J8*$G$4</f>
        <v>20175.257142857146</v>
      </c>
      <c r="L8" s="28">
        <f t="shared" si="4"/>
        <v>564907.20000000007</v>
      </c>
      <c r="M8" s="27">
        <f>M6*20%</f>
        <v>339.23314285714287</v>
      </c>
      <c r="N8" s="5">
        <f>M8*$G$4</f>
        <v>14926.258285714286</v>
      </c>
      <c r="O8" s="28">
        <f t="shared" si="1"/>
        <v>417935.23200000002</v>
      </c>
      <c r="P8" s="27">
        <f>P6*20%</f>
        <v>824.57142857142867</v>
      </c>
      <c r="Q8" s="5">
        <f>P8*$G$4</f>
        <v>36281.142857142862</v>
      </c>
      <c r="R8" s="28">
        <f t="shared" si="5"/>
        <v>1015872.0000000001</v>
      </c>
      <c r="S8" s="27">
        <f>S6*20%</f>
        <v>412.28571428571433</v>
      </c>
      <c r="T8" s="5">
        <f>S8*$G$4</f>
        <v>18140.571428571431</v>
      </c>
      <c r="U8" s="28">
        <f t="shared" si="6"/>
        <v>507936.00000000006</v>
      </c>
      <c r="V8" s="27">
        <f t="shared" si="2"/>
        <v>99972.119714285727</v>
      </c>
      <c r="W8" s="28">
        <f t="shared" si="7"/>
        <v>2799219.3520000004</v>
      </c>
    </row>
    <row r="9" spans="1:28" x14ac:dyDescent="0.25">
      <c r="A9" s="322"/>
      <c r="B9" s="328"/>
      <c r="C9" s="3" t="s">
        <v>5</v>
      </c>
      <c r="D9" s="4" t="s">
        <v>100</v>
      </c>
      <c r="E9" s="69" t="s">
        <v>117</v>
      </c>
      <c r="F9" s="70"/>
      <c r="G9" s="27">
        <v>0</v>
      </c>
      <c r="H9" s="5">
        <f t="shared" si="0"/>
        <v>0</v>
      </c>
      <c r="I9" s="28">
        <f>H9*28</f>
        <v>0</v>
      </c>
      <c r="J9" s="27">
        <v>0</v>
      </c>
      <c r="K9" s="5">
        <f t="shared" ref="K9:K23" si="8">J9*$J$4</f>
        <v>0</v>
      </c>
      <c r="L9" s="28">
        <f t="shared" si="4"/>
        <v>0</v>
      </c>
      <c r="M9" s="27">
        <v>0</v>
      </c>
      <c r="N9" s="5">
        <f t="shared" ref="N9:N23" si="9">M9*$M$4</f>
        <v>0</v>
      </c>
      <c r="O9" s="28">
        <f t="shared" si="1"/>
        <v>0</v>
      </c>
      <c r="P9" s="27">
        <v>0</v>
      </c>
      <c r="Q9" s="5">
        <f t="shared" ref="Q9:Q23" si="10">P9*$P$4</f>
        <v>0</v>
      </c>
      <c r="R9" s="28">
        <f t="shared" si="5"/>
        <v>0</v>
      </c>
      <c r="S9" s="27">
        <v>0</v>
      </c>
      <c r="T9" s="5">
        <f t="shared" ref="T9:T23" si="11">S9*$S$4</f>
        <v>0</v>
      </c>
      <c r="U9" s="28">
        <f t="shared" si="6"/>
        <v>0</v>
      </c>
      <c r="V9" s="27">
        <f t="shared" si="2"/>
        <v>0</v>
      </c>
      <c r="W9" s="28">
        <f t="shared" si="7"/>
        <v>0</v>
      </c>
    </row>
    <row r="10" spans="1:28" x14ac:dyDescent="0.25">
      <c r="A10" s="322"/>
      <c r="B10" s="328"/>
      <c r="C10" s="3" t="s">
        <v>6</v>
      </c>
      <c r="D10" s="4" t="s">
        <v>114</v>
      </c>
      <c r="E10" s="69" t="s">
        <v>118</v>
      </c>
      <c r="F10" s="70"/>
      <c r="G10" s="27">
        <v>0</v>
      </c>
      <c r="H10" s="5">
        <f t="shared" si="0"/>
        <v>0</v>
      </c>
      <c r="I10" s="28">
        <f t="shared" ref="I10:I12" si="12">H10*28</f>
        <v>0</v>
      </c>
      <c r="J10" s="27">
        <v>0</v>
      </c>
      <c r="K10" s="5">
        <f t="shared" si="8"/>
        <v>0</v>
      </c>
      <c r="L10" s="28">
        <f t="shared" si="4"/>
        <v>0</v>
      </c>
      <c r="M10" s="27">
        <v>0</v>
      </c>
      <c r="N10" s="5">
        <f t="shared" si="9"/>
        <v>0</v>
      </c>
      <c r="O10" s="28">
        <f t="shared" si="1"/>
        <v>0</v>
      </c>
      <c r="P10" s="27">
        <v>0</v>
      </c>
      <c r="Q10" s="5">
        <f t="shared" si="10"/>
        <v>0</v>
      </c>
      <c r="R10" s="28">
        <f t="shared" si="5"/>
        <v>0</v>
      </c>
      <c r="S10" s="27">
        <v>0</v>
      </c>
      <c r="T10" s="5">
        <f t="shared" si="11"/>
        <v>0</v>
      </c>
      <c r="U10" s="28">
        <f t="shared" si="6"/>
        <v>0</v>
      </c>
      <c r="V10" s="27">
        <f t="shared" si="2"/>
        <v>0</v>
      </c>
      <c r="W10" s="28">
        <f t="shared" si="7"/>
        <v>0</v>
      </c>
    </row>
    <row r="11" spans="1:28" x14ac:dyDescent="0.25">
      <c r="A11" s="322"/>
      <c r="B11" s="328"/>
      <c r="C11" s="3" t="s">
        <v>8</v>
      </c>
      <c r="D11" s="4" t="s">
        <v>115</v>
      </c>
      <c r="E11" s="69" t="s">
        <v>119</v>
      </c>
      <c r="F11" s="70"/>
      <c r="G11" s="27">
        <v>0</v>
      </c>
      <c r="H11" s="5">
        <f t="shared" si="0"/>
        <v>0</v>
      </c>
      <c r="I11" s="28">
        <f t="shared" si="12"/>
        <v>0</v>
      </c>
      <c r="J11" s="27">
        <v>0</v>
      </c>
      <c r="K11" s="5">
        <f t="shared" si="8"/>
        <v>0</v>
      </c>
      <c r="L11" s="28">
        <f t="shared" si="4"/>
        <v>0</v>
      </c>
      <c r="M11" s="27">
        <v>0</v>
      </c>
      <c r="N11" s="5">
        <f t="shared" si="9"/>
        <v>0</v>
      </c>
      <c r="O11" s="28">
        <f t="shared" si="1"/>
        <v>0</v>
      </c>
      <c r="P11" s="27">
        <v>0</v>
      </c>
      <c r="Q11" s="5">
        <f t="shared" si="10"/>
        <v>0</v>
      </c>
      <c r="R11" s="28">
        <f t="shared" si="5"/>
        <v>0</v>
      </c>
      <c r="S11" s="27">
        <v>0</v>
      </c>
      <c r="T11" s="5">
        <f t="shared" si="11"/>
        <v>0</v>
      </c>
      <c r="U11" s="28">
        <f t="shared" si="6"/>
        <v>0</v>
      </c>
      <c r="V11" s="27">
        <f t="shared" si="2"/>
        <v>0</v>
      </c>
      <c r="W11" s="28">
        <f t="shared" si="7"/>
        <v>0</v>
      </c>
    </row>
    <row r="12" spans="1:28" x14ac:dyDescent="0.25">
      <c r="A12" s="322"/>
      <c r="B12" s="328"/>
      <c r="C12" s="3" t="s">
        <v>10</v>
      </c>
      <c r="D12" s="4" t="s">
        <v>116</v>
      </c>
      <c r="E12" s="69" t="s">
        <v>120</v>
      </c>
      <c r="F12" s="70"/>
      <c r="G12" s="27">
        <v>0</v>
      </c>
      <c r="H12" s="5">
        <f t="shared" si="0"/>
        <v>0</v>
      </c>
      <c r="I12" s="28">
        <f t="shared" si="12"/>
        <v>0</v>
      </c>
      <c r="J12" s="27">
        <v>0</v>
      </c>
      <c r="K12" s="5">
        <f t="shared" si="8"/>
        <v>0</v>
      </c>
      <c r="L12" s="28">
        <f t="shared" si="4"/>
        <v>0</v>
      </c>
      <c r="M12" s="27">
        <v>0</v>
      </c>
      <c r="N12" s="5">
        <f t="shared" si="9"/>
        <v>0</v>
      </c>
      <c r="O12" s="28">
        <f t="shared" si="1"/>
        <v>0</v>
      </c>
      <c r="P12" s="27">
        <v>0</v>
      </c>
      <c r="Q12" s="5">
        <f t="shared" si="10"/>
        <v>0</v>
      </c>
      <c r="R12" s="28">
        <f t="shared" si="5"/>
        <v>0</v>
      </c>
      <c r="S12" s="27">
        <v>0</v>
      </c>
      <c r="T12" s="5">
        <f t="shared" si="11"/>
        <v>0</v>
      </c>
      <c r="U12" s="28">
        <f t="shared" si="6"/>
        <v>0</v>
      </c>
      <c r="V12" s="27">
        <f t="shared" si="2"/>
        <v>0</v>
      </c>
      <c r="W12" s="28">
        <f t="shared" si="7"/>
        <v>0</v>
      </c>
    </row>
    <row r="13" spans="1:28" x14ac:dyDescent="0.25">
      <c r="A13" s="322"/>
      <c r="B13" s="328"/>
      <c r="C13" s="3" t="s">
        <v>11</v>
      </c>
      <c r="D13" s="4" t="s">
        <v>14</v>
      </c>
      <c r="E13" s="69" t="s">
        <v>72</v>
      </c>
      <c r="F13" s="70"/>
      <c r="G13" s="27">
        <v>0</v>
      </c>
      <c r="H13" s="5">
        <f t="shared" si="0"/>
        <v>0</v>
      </c>
      <c r="I13" s="28">
        <f t="shared" si="3"/>
        <v>0</v>
      </c>
      <c r="J13" s="27">
        <v>0</v>
      </c>
      <c r="K13" s="5">
        <f t="shared" si="8"/>
        <v>0</v>
      </c>
      <c r="L13" s="28">
        <f t="shared" si="4"/>
        <v>0</v>
      </c>
      <c r="M13" s="27">
        <v>0</v>
      </c>
      <c r="N13" s="5">
        <f t="shared" si="9"/>
        <v>0</v>
      </c>
      <c r="O13" s="28">
        <f t="shared" si="1"/>
        <v>0</v>
      </c>
      <c r="P13" s="27">
        <v>0</v>
      </c>
      <c r="Q13" s="5">
        <f t="shared" si="10"/>
        <v>0</v>
      </c>
      <c r="R13" s="28">
        <f t="shared" si="5"/>
        <v>0</v>
      </c>
      <c r="S13" s="27">
        <v>0</v>
      </c>
      <c r="T13" s="5">
        <f t="shared" si="11"/>
        <v>0</v>
      </c>
      <c r="U13" s="28">
        <f t="shared" si="6"/>
        <v>0</v>
      </c>
      <c r="V13" s="27">
        <f t="shared" si="2"/>
        <v>0</v>
      </c>
      <c r="W13" s="28">
        <f t="shared" si="7"/>
        <v>0</v>
      </c>
    </row>
    <row r="14" spans="1:28" s="108" customFormat="1" x14ac:dyDescent="0.25">
      <c r="A14" s="322"/>
      <c r="B14" s="328"/>
      <c r="C14" s="13" t="s">
        <v>13</v>
      </c>
      <c r="D14" s="4" t="s">
        <v>16</v>
      </c>
      <c r="E14" s="69" t="s">
        <v>258</v>
      </c>
      <c r="F14" s="70"/>
      <c r="G14" s="27">
        <f>G6*3.1209%</f>
        <v>37.056741790714284</v>
      </c>
      <c r="H14" s="5">
        <f t="shared" si="0"/>
        <v>1630.5</v>
      </c>
      <c r="I14" s="28">
        <f t="shared" si="3"/>
        <v>45654</v>
      </c>
      <c r="J14" s="27">
        <f>J6*3.1209%</f>
        <v>71.551090928571426</v>
      </c>
      <c r="K14" s="5">
        <f t="shared" si="8"/>
        <v>787.06200021428572</v>
      </c>
      <c r="L14" s="28">
        <f t="shared" si="4"/>
        <v>22037.736005999999</v>
      </c>
      <c r="M14" s="27">
        <f>M6*3.1209%</f>
        <v>52.935635777142856</v>
      </c>
      <c r="N14" s="5">
        <f t="shared" si="9"/>
        <v>1746.8759806457142</v>
      </c>
      <c r="O14" s="28">
        <f t="shared" si="1"/>
        <v>48912.527458079996</v>
      </c>
      <c r="P14" s="27">
        <f>P6*3.1209%</f>
        <v>128.67024857142857</v>
      </c>
      <c r="Q14" s="5">
        <f t="shared" si="10"/>
        <v>3088.0859657142855</v>
      </c>
      <c r="R14" s="28">
        <f t="shared" si="5"/>
        <v>86466.407039999991</v>
      </c>
      <c r="S14" s="27">
        <f>S6*3.1209%</f>
        <v>64.335124285714286</v>
      </c>
      <c r="T14" s="5">
        <f t="shared" si="11"/>
        <v>7269.8690442857142</v>
      </c>
      <c r="U14" s="28">
        <f t="shared" si="6"/>
        <v>203556.33324000001</v>
      </c>
      <c r="V14" s="27">
        <f t="shared" si="2"/>
        <v>14522.39299086</v>
      </c>
      <c r="W14" s="28">
        <f t="shared" si="7"/>
        <v>406627.00374408002</v>
      </c>
      <c r="AB14" s="52"/>
    </row>
    <row r="15" spans="1:28" x14ac:dyDescent="0.25">
      <c r="A15" s="322"/>
      <c r="B15" s="329"/>
      <c r="C15" s="6" t="s">
        <v>15</v>
      </c>
      <c r="D15" s="7" t="s">
        <v>7</v>
      </c>
      <c r="E15" s="71" t="s">
        <v>121</v>
      </c>
      <c r="F15" s="72"/>
      <c r="G15" s="29">
        <f>SUM(G6:G14)</f>
        <v>1556.8949132192859</v>
      </c>
      <c r="H15" s="8">
        <f t="shared" si="0"/>
        <v>68503.38</v>
      </c>
      <c r="I15" s="30">
        <f t="shared" si="3"/>
        <v>1918094.6400000001</v>
      </c>
      <c r="J15" s="29">
        <f>SUM(J6:J14)</f>
        <v>3006.1339480714287</v>
      </c>
      <c r="K15" s="8">
        <f t="shared" si="8"/>
        <v>33067.473428785714</v>
      </c>
      <c r="L15" s="30">
        <f t="shared" si="4"/>
        <v>925889.25600599998</v>
      </c>
      <c r="M15" s="29">
        <f>SUM(M6:M14)</f>
        <v>2224.0277500628572</v>
      </c>
      <c r="N15" s="8">
        <f t="shared" si="9"/>
        <v>73392.915752074288</v>
      </c>
      <c r="O15" s="30">
        <f t="shared" si="1"/>
        <v>2055001.6410580801</v>
      </c>
      <c r="P15" s="29">
        <f>SUM(P6:P14)</f>
        <v>5405.9273914285714</v>
      </c>
      <c r="Q15" s="8">
        <f t="shared" si="10"/>
        <v>129742.25739428571</v>
      </c>
      <c r="R15" s="30">
        <f t="shared" si="5"/>
        <v>3632783.2070399998</v>
      </c>
      <c r="S15" s="29">
        <f>SUM(S6:S14)</f>
        <v>2702.9636957142857</v>
      </c>
      <c r="T15" s="8">
        <f t="shared" si="11"/>
        <v>305434.89761571429</v>
      </c>
      <c r="U15" s="30">
        <f t="shared" si="6"/>
        <v>8552177.1332399994</v>
      </c>
      <c r="V15" s="29">
        <f t="shared" si="2"/>
        <v>610140.92419086001</v>
      </c>
      <c r="W15" s="30">
        <f t="shared" si="7"/>
        <v>17083945.877344079</v>
      </c>
    </row>
    <row r="16" spans="1:28" ht="25.5" customHeight="1" x14ac:dyDescent="0.25">
      <c r="A16" s="322"/>
      <c r="B16" s="327" t="s">
        <v>50</v>
      </c>
      <c r="C16" s="3" t="s">
        <v>17</v>
      </c>
      <c r="D16" s="4" t="s">
        <v>22</v>
      </c>
      <c r="E16" s="80"/>
      <c r="F16" s="81"/>
      <c r="G16" s="27">
        <f>E16</f>
        <v>0</v>
      </c>
      <c r="H16" s="5">
        <f t="shared" si="0"/>
        <v>0</v>
      </c>
      <c r="I16" s="28">
        <f t="shared" si="3"/>
        <v>0</v>
      </c>
      <c r="J16" s="27">
        <f>E16</f>
        <v>0</v>
      </c>
      <c r="K16" s="5">
        <f t="shared" si="8"/>
        <v>0</v>
      </c>
      <c r="L16" s="28">
        <f t="shared" si="4"/>
        <v>0</v>
      </c>
      <c r="M16" s="27">
        <f>E16</f>
        <v>0</v>
      </c>
      <c r="N16" s="5">
        <f t="shared" si="9"/>
        <v>0</v>
      </c>
      <c r="O16" s="28">
        <f t="shared" si="1"/>
        <v>0</v>
      </c>
      <c r="P16" s="27">
        <f>E16</f>
        <v>0</v>
      </c>
      <c r="Q16" s="5">
        <f t="shared" si="10"/>
        <v>0</v>
      </c>
      <c r="R16" s="28">
        <f t="shared" si="5"/>
        <v>0</v>
      </c>
      <c r="S16" s="27">
        <f>E16</f>
        <v>0</v>
      </c>
      <c r="T16" s="5">
        <f t="shared" si="11"/>
        <v>0</v>
      </c>
      <c r="U16" s="28">
        <f t="shared" si="6"/>
        <v>0</v>
      </c>
      <c r="V16" s="27">
        <f t="shared" si="2"/>
        <v>0</v>
      </c>
      <c r="W16" s="28">
        <f t="shared" si="7"/>
        <v>0</v>
      </c>
    </row>
    <row r="17" spans="1:28" x14ac:dyDescent="0.25">
      <c r="A17" s="322"/>
      <c r="B17" s="328"/>
      <c r="C17" s="3" t="s">
        <v>18</v>
      </c>
      <c r="D17" s="4" t="s">
        <v>24</v>
      </c>
      <c r="E17" s="80">
        <v>33.619999999999997</v>
      </c>
      <c r="F17" s="81"/>
      <c r="G17" s="27">
        <f>(E17*21)/28*26</f>
        <v>655.59</v>
      </c>
      <c r="H17" s="5">
        <f t="shared" si="0"/>
        <v>28845.96</v>
      </c>
      <c r="I17" s="28">
        <f t="shared" si="3"/>
        <v>807686.88</v>
      </c>
      <c r="J17" s="27">
        <f>(E17*21)/28*26</f>
        <v>655.59</v>
      </c>
      <c r="K17" s="5">
        <f t="shared" si="8"/>
        <v>7211.4900000000007</v>
      </c>
      <c r="L17" s="28">
        <f t="shared" si="4"/>
        <v>201921.72000000003</v>
      </c>
      <c r="M17" s="27">
        <f>(E17*21)/28*26</f>
        <v>655.59</v>
      </c>
      <c r="N17" s="5">
        <f t="shared" si="9"/>
        <v>21634.47</v>
      </c>
      <c r="O17" s="28">
        <f t="shared" si="1"/>
        <v>605765.16</v>
      </c>
      <c r="P17" s="27">
        <f>(E17*21)/28*26</f>
        <v>655.59</v>
      </c>
      <c r="Q17" s="5">
        <f t="shared" si="10"/>
        <v>15734.16</v>
      </c>
      <c r="R17" s="28">
        <f t="shared" si="5"/>
        <v>440556.48</v>
      </c>
      <c r="S17" s="27">
        <f>(E17*21)/28*26</f>
        <v>655.59</v>
      </c>
      <c r="T17" s="5">
        <f t="shared" si="11"/>
        <v>74081.67</v>
      </c>
      <c r="U17" s="28">
        <f t="shared" si="6"/>
        <v>2074286.76</v>
      </c>
      <c r="V17" s="27">
        <f t="shared" si="2"/>
        <v>147507.75</v>
      </c>
      <c r="W17" s="28">
        <f t="shared" si="7"/>
        <v>4130217</v>
      </c>
    </row>
    <row r="18" spans="1:28" x14ac:dyDescent="0.25">
      <c r="A18" s="322"/>
      <c r="B18" s="328"/>
      <c r="C18" s="3" t="s">
        <v>19</v>
      </c>
      <c r="D18" s="4" t="s">
        <v>26</v>
      </c>
      <c r="E18" s="80"/>
      <c r="F18" s="81"/>
      <c r="G18" s="27">
        <f>E18</f>
        <v>0</v>
      </c>
      <c r="H18" s="5">
        <f t="shared" si="0"/>
        <v>0</v>
      </c>
      <c r="I18" s="28">
        <f t="shared" si="3"/>
        <v>0</v>
      </c>
      <c r="J18" s="27">
        <f>E18</f>
        <v>0</v>
      </c>
      <c r="K18" s="5">
        <f t="shared" si="8"/>
        <v>0</v>
      </c>
      <c r="L18" s="28">
        <f t="shared" si="4"/>
        <v>0</v>
      </c>
      <c r="M18" s="27">
        <f>E18</f>
        <v>0</v>
      </c>
      <c r="N18" s="5">
        <f t="shared" si="9"/>
        <v>0</v>
      </c>
      <c r="O18" s="28">
        <f t="shared" si="1"/>
        <v>0</v>
      </c>
      <c r="P18" s="27">
        <f>E18</f>
        <v>0</v>
      </c>
      <c r="Q18" s="5">
        <f t="shared" si="10"/>
        <v>0</v>
      </c>
      <c r="R18" s="28">
        <f t="shared" si="5"/>
        <v>0</v>
      </c>
      <c r="S18" s="27">
        <f>E18</f>
        <v>0</v>
      </c>
      <c r="T18" s="5">
        <f t="shared" si="11"/>
        <v>0</v>
      </c>
      <c r="U18" s="28">
        <f t="shared" si="6"/>
        <v>0</v>
      </c>
      <c r="V18" s="27">
        <f t="shared" si="2"/>
        <v>0</v>
      </c>
      <c r="W18" s="28">
        <f t="shared" si="7"/>
        <v>0</v>
      </c>
    </row>
    <row r="19" spans="1:28" x14ac:dyDescent="0.25">
      <c r="A19" s="322"/>
      <c r="B19" s="328"/>
      <c r="C19" s="3" t="s">
        <v>20</v>
      </c>
      <c r="D19" s="4" t="s">
        <v>28</v>
      </c>
      <c r="E19" s="80">
        <v>0</v>
      </c>
      <c r="F19" s="81"/>
      <c r="G19" s="27">
        <f>E19</f>
        <v>0</v>
      </c>
      <c r="H19" s="5">
        <f t="shared" si="0"/>
        <v>0</v>
      </c>
      <c r="I19" s="28">
        <f t="shared" si="3"/>
        <v>0</v>
      </c>
      <c r="J19" s="27">
        <f>E19</f>
        <v>0</v>
      </c>
      <c r="K19" s="5">
        <f t="shared" si="8"/>
        <v>0</v>
      </c>
      <c r="L19" s="28">
        <f t="shared" si="4"/>
        <v>0</v>
      </c>
      <c r="M19" s="27">
        <f>E19</f>
        <v>0</v>
      </c>
      <c r="N19" s="5">
        <f t="shared" si="9"/>
        <v>0</v>
      </c>
      <c r="O19" s="28">
        <f t="shared" si="1"/>
        <v>0</v>
      </c>
      <c r="P19" s="27">
        <v>0</v>
      </c>
      <c r="Q19" s="5">
        <f t="shared" si="10"/>
        <v>0</v>
      </c>
      <c r="R19" s="28">
        <f t="shared" si="5"/>
        <v>0</v>
      </c>
      <c r="S19" s="27">
        <v>0</v>
      </c>
      <c r="T19" s="5">
        <f t="shared" si="11"/>
        <v>0</v>
      </c>
      <c r="U19" s="28">
        <f t="shared" si="6"/>
        <v>0</v>
      </c>
      <c r="V19" s="27">
        <f t="shared" si="2"/>
        <v>0</v>
      </c>
      <c r="W19" s="28">
        <f t="shared" si="7"/>
        <v>0</v>
      </c>
    </row>
    <row r="20" spans="1:28" x14ac:dyDescent="0.25">
      <c r="A20" s="322"/>
      <c r="B20" s="328"/>
      <c r="C20" s="3" t="s">
        <v>21</v>
      </c>
      <c r="D20" s="4" t="s">
        <v>29</v>
      </c>
      <c r="E20" s="80">
        <v>4.25</v>
      </c>
      <c r="F20" s="81"/>
      <c r="G20" s="27">
        <f>IF((E20*42)-(H4*6%)&gt;0,((E20*42)-(H4*6%))/28*26,0)</f>
        <v>94.50758571428571</v>
      </c>
      <c r="H20" s="5">
        <f t="shared" si="0"/>
        <v>4158.33</v>
      </c>
      <c r="I20" s="28">
        <f t="shared" si="3"/>
        <v>116433.23999999999</v>
      </c>
      <c r="J20" s="27">
        <f>IF((E20*42)-(K4*6%)&gt;0,((E20*42)-(K4*6%))/28*26,0)</f>
        <v>28.191428571428585</v>
      </c>
      <c r="K20" s="5">
        <f t="shared" si="8"/>
        <v>310.10571428571444</v>
      </c>
      <c r="L20" s="28">
        <f t="shared" si="4"/>
        <v>8682.9600000000046</v>
      </c>
      <c r="M20" s="27">
        <f>IF((E20*42)-(N4*6%)&gt;0,((E20*42)-(N4*6%))/28*26,0)</f>
        <v>63.980057142857149</v>
      </c>
      <c r="N20" s="5">
        <f t="shared" si="9"/>
        <v>2111.341885714286</v>
      </c>
      <c r="O20" s="28">
        <f t="shared" si="1"/>
        <v>59117.572800000009</v>
      </c>
      <c r="P20" s="27">
        <f>IF((E20*42)-(Q4*6%)&gt;0,((E20*42)-(Q4*6%))/28*26,0)</f>
        <v>0</v>
      </c>
      <c r="Q20" s="5">
        <f t="shared" si="10"/>
        <v>0</v>
      </c>
      <c r="R20" s="28">
        <f t="shared" si="5"/>
        <v>0</v>
      </c>
      <c r="S20" s="27">
        <f>IF((E20*42)-(T4*6%)&gt;0,((E20*42)-(T4*6%))/28*26,0)</f>
        <v>42.064285714285724</v>
      </c>
      <c r="T20" s="5">
        <f t="shared" si="11"/>
        <v>4753.2642857142864</v>
      </c>
      <c r="U20" s="28">
        <f t="shared" si="6"/>
        <v>133091.40000000002</v>
      </c>
      <c r="V20" s="27">
        <f t="shared" si="2"/>
        <v>11333.041885714287</v>
      </c>
      <c r="W20" s="28">
        <f t="shared" si="7"/>
        <v>317325.17280000006</v>
      </c>
    </row>
    <row r="21" spans="1:28" x14ac:dyDescent="0.25">
      <c r="A21" s="323"/>
      <c r="B21" s="329"/>
      <c r="C21" s="6" t="s">
        <v>23</v>
      </c>
      <c r="D21" s="7" t="s">
        <v>7</v>
      </c>
      <c r="E21" s="71" t="s">
        <v>122</v>
      </c>
      <c r="F21" s="72"/>
      <c r="G21" s="29">
        <f>SUM(G16:G20)</f>
        <v>750.09758571428574</v>
      </c>
      <c r="H21" s="8">
        <f t="shared" si="0"/>
        <v>33004.29</v>
      </c>
      <c r="I21" s="30">
        <f t="shared" si="3"/>
        <v>924120.12</v>
      </c>
      <c r="J21" s="29">
        <f>SUM(J16:J20)</f>
        <v>683.78142857142859</v>
      </c>
      <c r="K21" s="8">
        <f t="shared" si="8"/>
        <v>7521.5957142857142</v>
      </c>
      <c r="L21" s="30">
        <f t="shared" si="4"/>
        <v>210604.68</v>
      </c>
      <c r="M21" s="29">
        <f>SUM(M16:M20)</f>
        <v>719.57005714285719</v>
      </c>
      <c r="N21" s="8">
        <f t="shared" si="9"/>
        <v>23745.811885714287</v>
      </c>
      <c r="O21" s="30">
        <f t="shared" si="1"/>
        <v>664882.7328</v>
      </c>
      <c r="P21" s="29">
        <f>SUM(P16:P20)</f>
        <v>655.59</v>
      </c>
      <c r="Q21" s="8">
        <f t="shared" si="10"/>
        <v>15734.16</v>
      </c>
      <c r="R21" s="30">
        <f t="shared" si="5"/>
        <v>440556.48</v>
      </c>
      <c r="S21" s="29">
        <f>SUM(S16:S20)</f>
        <v>697.65428571428572</v>
      </c>
      <c r="T21" s="8">
        <f t="shared" si="11"/>
        <v>78834.934285714291</v>
      </c>
      <c r="U21" s="30">
        <f t="shared" si="6"/>
        <v>2207378.16</v>
      </c>
      <c r="V21" s="29">
        <f t="shared" si="2"/>
        <v>158840.79188571428</v>
      </c>
      <c r="W21" s="30">
        <f t="shared" si="7"/>
        <v>4447542.1727999998</v>
      </c>
      <c r="Z21" s="9"/>
    </row>
    <row r="22" spans="1:28" x14ac:dyDescent="0.25">
      <c r="A22" s="321" t="s">
        <v>77</v>
      </c>
      <c r="B22" s="311" t="s">
        <v>73</v>
      </c>
      <c r="C22" s="10" t="s">
        <v>25</v>
      </c>
      <c r="D22" s="11" t="s">
        <v>73</v>
      </c>
      <c r="E22" s="73" t="s">
        <v>107</v>
      </c>
      <c r="F22" s="74"/>
      <c r="G22" s="31">
        <f>(H4+H4/3)/30*70/28</f>
        <v>142.07888888888891</v>
      </c>
      <c r="H22" s="2">
        <f t="shared" si="0"/>
        <v>6251.47</v>
      </c>
      <c r="I22" s="32">
        <f t="shared" si="3"/>
        <v>175041.16</v>
      </c>
      <c r="J22" s="31">
        <f>(K4+K4/3)/30*70/28</f>
        <v>274.33333333333331</v>
      </c>
      <c r="K22" s="2">
        <f t="shared" si="8"/>
        <v>3017.6666666666665</v>
      </c>
      <c r="L22" s="32">
        <f t="shared" si="4"/>
        <v>84494.666666666657</v>
      </c>
      <c r="M22" s="31">
        <f>(N4+N4/3)/30*70/28</f>
        <v>202.96</v>
      </c>
      <c r="N22" s="2">
        <f t="shared" si="9"/>
        <v>6697.68</v>
      </c>
      <c r="O22" s="32">
        <f t="shared" si="1"/>
        <v>187535.04</v>
      </c>
      <c r="P22" s="31">
        <f>(Q4+Q4/3)/30*70/28</f>
        <v>493.33333333333337</v>
      </c>
      <c r="Q22" s="2">
        <f t="shared" si="10"/>
        <v>11840</v>
      </c>
      <c r="R22" s="32">
        <f t="shared" si="5"/>
        <v>331520</v>
      </c>
      <c r="S22" s="31">
        <f>(T4+T4/3)/30*70/28</f>
        <v>246.66666666666669</v>
      </c>
      <c r="T22" s="2">
        <f t="shared" si="11"/>
        <v>27873.333333333336</v>
      </c>
      <c r="U22" s="32">
        <f t="shared" si="6"/>
        <v>780453.33333333337</v>
      </c>
      <c r="V22" s="31">
        <f t="shared" si="2"/>
        <v>55680.15</v>
      </c>
      <c r="W22" s="32">
        <f t="shared" si="7"/>
        <v>1559044.2</v>
      </c>
    </row>
    <row r="23" spans="1:28" x14ac:dyDescent="0.25">
      <c r="A23" s="322"/>
      <c r="B23" s="312"/>
      <c r="C23" s="10" t="s">
        <v>27</v>
      </c>
      <c r="D23" s="11" t="s">
        <v>9</v>
      </c>
      <c r="E23" s="73" t="s">
        <v>124</v>
      </c>
      <c r="F23" s="74"/>
      <c r="G23" s="31">
        <f>G22*8%</f>
        <v>11.366311111111113</v>
      </c>
      <c r="H23" s="2">
        <f t="shared" si="0"/>
        <v>500.12</v>
      </c>
      <c r="I23" s="32">
        <f t="shared" si="3"/>
        <v>14003.36</v>
      </c>
      <c r="J23" s="31">
        <f>J22*8%</f>
        <v>21.946666666666665</v>
      </c>
      <c r="K23" s="2">
        <f t="shared" si="8"/>
        <v>241.41333333333333</v>
      </c>
      <c r="L23" s="32">
        <f t="shared" si="4"/>
        <v>6759.5733333333328</v>
      </c>
      <c r="M23" s="31">
        <f>M22*8%</f>
        <v>16.236800000000002</v>
      </c>
      <c r="N23" s="2">
        <f t="shared" si="9"/>
        <v>535.81440000000009</v>
      </c>
      <c r="O23" s="32">
        <f t="shared" si="1"/>
        <v>15002.803200000002</v>
      </c>
      <c r="P23" s="31">
        <f>P22*8%</f>
        <v>39.466666666666669</v>
      </c>
      <c r="Q23" s="2">
        <f t="shared" si="10"/>
        <v>947.2</v>
      </c>
      <c r="R23" s="32">
        <f t="shared" si="5"/>
        <v>26521.600000000002</v>
      </c>
      <c r="S23" s="31">
        <f>S22*8%</f>
        <v>19.733333333333334</v>
      </c>
      <c r="T23" s="2">
        <f t="shared" si="11"/>
        <v>2229.8666666666668</v>
      </c>
      <c r="U23" s="32">
        <f t="shared" si="6"/>
        <v>62436.26666666667</v>
      </c>
      <c r="V23" s="31">
        <f t="shared" si="2"/>
        <v>4454.4144000000006</v>
      </c>
      <c r="W23" s="32">
        <f t="shared" si="7"/>
        <v>124723.60320000001</v>
      </c>
      <c r="Y23" s="9"/>
      <c r="Z23" s="12"/>
    </row>
    <row r="24" spans="1:28" x14ac:dyDescent="0.25">
      <c r="A24" s="322"/>
      <c r="B24" s="312"/>
      <c r="C24" s="10" t="s">
        <v>123</v>
      </c>
      <c r="D24" s="11" t="s">
        <v>12</v>
      </c>
      <c r="E24" s="73" t="s">
        <v>193</v>
      </c>
      <c r="F24" s="74"/>
      <c r="G24" s="31">
        <f>G22*20%</f>
        <v>28.415777777777784</v>
      </c>
      <c r="H24" s="2">
        <f t="shared" si="0"/>
        <v>1250.29</v>
      </c>
      <c r="I24" s="32">
        <f t="shared" si="3"/>
        <v>35008.119999999995</v>
      </c>
      <c r="J24" s="31">
        <f>J22*20%</f>
        <v>54.866666666666667</v>
      </c>
      <c r="K24" s="2">
        <f>J24*$G$4</f>
        <v>2414.1333333333332</v>
      </c>
      <c r="L24" s="32">
        <f t="shared" si="4"/>
        <v>67595.733333333337</v>
      </c>
      <c r="M24" s="31">
        <f>M22*20%</f>
        <v>40.592000000000006</v>
      </c>
      <c r="N24" s="2">
        <f>M24*$G$4</f>
        <v>1786.0480000000002</v>
      </c>
      <c r="O24" s="32">
        <f t="shared" si="1"/>
        <v>50009.344000000005</v>
      </c>
      <c r="P24" s="31">
        <f>P22*20%</f>
        <v>98.666666666666686</v>
      </c>
      <c r="Q24" s="2">
        <f>P24*$G$4</f>
        <v>4341.3333333333339</v>
      </c>
      <c r="R24" s="32">
        <f t="shared" si="5"/>
        <v>121557.33333333334</v>
      </c>
      <c r="S24" s="31">
        <f>S22*20%</f>
        <v>49.333333333333343</v>
      </c>
      <c r="T24" s="2">
        <f>S24*$G$4</f>
        <v>2170.666666666667</v>
      </c>
      <c r="U24" s="32">
        <f t="shared" si="6"/>
        <v>60778.666666666672</v>
      </c>
      <c r="V24" s="31">
        <f t="shared" si="2"/>
        <v>11962.471333333335</v>
      </c>
      <c r="W24" s="32">
        <f t="shared" si="7"/>
        <v>334949.19733333337</v>
      </c>
      <c r="Z24" s="12"/>
    </row>
    <row r="25" spans="1:28" x14ac:dyDescent="0.25">
      <c r="A25" s="322"/>
      <c r="B25" s="312"/>
      <c r="C25" s="10" t="s">
        <v>30</v>
      </c>
      <c r="D25" s="4" t="s">
        <v>100</v>
      </c>
      <c r="E25" s="69" t="s">
        <v>125</v>
      </c>
      <c r="F25" s="70"/>
      <c r="G25" s="31">
        <v>0</v>
      </c>
      <c r="H25" s="2">
        <f t="shared" si="0"/>
        <v>0</v>
      </c>
      <c r="I25" s="32">
        <f t="shared" si="3"/>
        <v>0</v>
      </c>
      <c r="J25" s="31">
        <v>0</v>
      </c>
      <c r="K25" s="2">
        <f t="shared" ref="K25:K33" si="13">J25*$J$4</f>
        <v>0</v>
      </c>
      <c r="L25" s="32">
        <f t="shared" si="4"/>
        <v>0</v>
      </c>
      <c r="M25" s="31">
        <v>0</v>
      </c>
      <c r="N25" s="2">
        <f t="shared" ref="N25:N33" si="14">M25*$M$4</f>
        <v>0</v>
      </c>
      <c r="O25" s="32">
        <f t="shared" si="1"/>
        <v>0</v>
      </c>
      <c r="P25" s="31">
        <v>0</v>
      </c>
      <c r="Q25" s="2">
        <f t="shared" ref="Q25:Q33" si="15">P25*$P$4</f>
        <v>0</v>
      </c>
      <c r="R25" s="32">
        <f t="shared" si="5"/>
        <v>0</v>
      </c>
      <c r="S25" s="31">
        <v>0</v>
      </c>
      <c r="T25" s="2">
        <f t="shared" ref="T25:T33" si="16">S25*$S$4</f>
        <v>0</v>
      </c>
      <c r="U25" s="32">
        <f t="shared" si="6"/>
        <v>0</v>
      </c>
      <c r="V25" s="31">
        <f t="shared" si="2"/>
        <v>0</v>
      </c>
      <c r="W25" s="32">
        <f t="shared" si="7"/>
        <v>0</v>
      </c>
      <c r="Z25" s="12"/>
    </row>
    <row r="26" spans="1:28" x14ac:dyDescent="0.25">
      <c r="A26" s="322"/>
      <c r="B26" s="312"/>
      <c r="C26" s="10" t="s">
        <v>31</v>
      </c>
      <c r="D26" s="4" t="s">
        <v>114</v>
      </c>
      <c r="E26" s="69" t="s">
        <v>126</v>
      </c>
      <c r="F26" s="70"/>
      <c r="G26" s="31">
        <v>0</v>
      </c>
      <c r="H26" s="2">
        <f t="shared" si="0"/>
        <v>0</v>
      </c>
      <c r="I26" s="32">
        <f t="shared" si="3"/>
        <v>0</v>
      </c>
      <c r="J26" s="31">
        <v>0</v>
      </c>
      <c r="K26" s="2">
        <f t="shared" si="13"/>
        <v>0</v>
      </c>
      <c r="L26" s="32">
        <f t="shared" si="4"/>
        <v>0</v>
      </c>
      <c r="M26" s="31">
        <v>0</v>
      </c>
      <c r="N26" s="2">
        <f t="shared" si="14"/>
        <v>0</v>
      </c>
      <c r="O26" s="32">
        <f t="shared" si="1"/>
        <v>0</v>
      </c>
      <c r="P26" s="31">
        <v>0</v>
      </c>
      <c r="Q26" s="2">
        <f t="shared" si="15"/>
        <v>0</v>
      </c>
      <c r="R26" s="32">
        <f t="shared" si="5"/>
        <v>0</v>
      </c>
      <c r="S26" s="31">
        <v>0</v>
      </c>
      <c r="T26" s="2">
        <f t="shared" si="16"/>
        <v>0</v>
      </c>
      <c r="U26" s="32">
        <f t="shared" si="6"/>
        <v>0</v>
      </c>
      <c r="V26" s="31">
        <f t="shared" si="2"/>
        <v>0</v>
      </c>
      <c r="W26" s="32">
        <f t="shared" si="7"/>
        <v>0</v>
      </c>
      <c r="Z26" s="12"/>
    </row>
    <row r="27" spans="1:28" x14ac:dyDescent="0.25">
      <c r="A27" s="322"/>
      <c r="B27" s="312"/>
      <c r="C27" s="10" t="s">
        <v>33</v>
      </c>
      <c r="D27" s="4" t="s">
        <v>115</v>
      </c>
      <c r="E27" s="69" t="s">
        <v>127</v>
      </c>
      <c r="F27" s="70"/>
      <c r="G27" s="31">
        <v>0</v>
      </c>
      <c r="H27" s="2">
        <f t="shared" si="0"/>
        <v>0</v>
      </c>
      <c r="I27" s="32">
        <f t="shared" si="3"/>
        <v>0</v>
      </c>
      <c r="J27" s="31">
        <v>0</v>
      </c>
      <c r="K27" s="2">
        <f t="shared" si="13"/>
        <v>0</v>
      </c>
      <c r="L27" s="32">
        <f t="shared" si="4"/>
        <v>0</v>
      </c>
      <c r="M27" s="31">
        <v>0</v>
      </c>
      <c r="N27" s="2">
        <f t="shared" si="14"/>
        <v>0</v>
      </c>
      <c r="O27" s="32">
        <f t="shared" si="1"/>
        <v>0</v>
      </c>
      <c r="P27" s="31">
        <v>0</v>
      </c>
      <c r="Q27" s="2">
        <f t="shared" si="15"/>
        <v>0</v>
      </c>
      <c r="R27" s="32">
        <f t="shared" si="5"/>
        <v>0</v>
      </c>
      <c r="S27" s="31">
        <v>0</v>
      </c>
      <c r="T27" s="2">
        <f t="shared" si="16"/>
        <v>0</v>
      </c>
      <c r="U27" s="32">
        <f t="shared" si="6"/>
        <v>0</v>
      </c>
      <c r="V27" s="31">
        <f t="shared" si="2"/>
        <v>0</v>
      </c>
      <c r="W27" s="32">
        <f t="shared" si="7"/>
        <v>0</v>
      </c>
      <c r="Z27" s="12"/>
    </row>
    <row r="28" spans="1:28" x14ac:dyDescent="0.25">
      <c r="A28" s="322"/>
      <c r="B28" s="312"/>
      <c r="C28" s="10" t="s">
        <v>34</v>
      </c>
      <c r="D28" s="4" t="s">
        <v>116</v>
      </c>
      <c r="E28" s="69" t="s">
        <v>128</v>
      </c>
      <c r="F28" s="70"/>
      <c r="G28" s="31">
        <v>0</v>
      </c>
      <c r="H28" s="2">
        <f t="shared" si="0"/>
        <v>0</v>
      </c>
      <c r="I28" s="32">
        <f t="shared" si="3"/>
        <v>0</v>
      </c>
      <c r="J28" s="31">
        <v>0</v>
      </c>
      <c r="K28" s="2">
        <f t="shared" si="13"/>
        <v>0</v>
      </c>
      <c r="L28" s="32">
        <f t="shared" si="4"/>
        <v>0</v>
      </c>
      <c r="M28" s="31">
        <v>0</v>
      </c>
      <c r="N28" s="2">
        <f t="shared" si="14"/>
        <v>0</v>
      </c>
      <c r="O28" s="32">
        <f t="shared" si="1"/>
        <v>0</v>
      </c>
      <c r="P28" s="31">
        <v>0</v>
      </c>
      <c r="Q28" s="2">
        <f t="shared" si="15"/>
        <v>0</v>
      </c>
      <c r="R28" s="32">
        <f t="shared" si="5"/>
        <v>0</v>
      </c>
      <c r="S28" s="31">
        <v>0</v>
      </c>
      <c r="T28" s="2">
        <f t="shared" si="16"/>
        <v>0</v>
      </c>
      <c r="U28" s="32">
        <f t="shared" si="6"/>
        <v>0</v>
      </c>
      <c r="V28" s="31">
        <f t="shared" si="2"/>
        <v>0</v>
      </c>
      <c r="W28" s="32">
        <f t="shared" si="7"/>
        <v>0</v>
      </c>
      <c r="Z28" s="12"/>
    </row>
    <row r="29" spans="1:28" x14ac:dyDescent="0.25">
      <c r="A29" s="322"/>
      <c r="B29" s="312"/>
      <c r="C29" s="10" t="s">
        <v>35</v>
      </c>
      <c r="D29" s="11" t="s">
        <v>14</v>
      </c>
      <c r="E29" s="73" t="s">
        <v>129</v>
      </c>
      <c r="F29" s="74"/>
      <c r="G29" s="31">
        <v>0</v>
      </c>
      <c r="H29" s="2">
        <f t="shared" si="0"/>
        <v>0</v>
      </c>
      <c r="I29" s="32">
        <f t="shared" si="3"/>
        <v>0</v>
      </c>
      <c r="J29" s="31">
        <v>0</v>
      </c>
      <c r="K29" s="2">
        <f t="shared" si="13"/>
        <v>0</v>
      </c>
      <c r="L29" s="32">
        <f t="shared" si="4"/>
        <v>0</v>
      </c>
      <c r="M29" s="31">
        <v>0</v>
      </c>
      <c r="N29" s="2">
        <f t="shared" si="14"/>
        <v>0</v>
      </c>
      <c r="O29" s="32">
        <f t="shared" si="1"/>
        <v>0</v>
      </c>
      <c r="P29" s="31">
        <v>0</v>
      </c>
      <c r="Q29" s="2">
        <f t="shared" si="15"/>
        <v>0</v>
      </c>
      <c r="R29" s="32">
        <f t="shared" si="5"/>
        <v>0</v>
      </c>
      <c r="S29" s="31">
        <v>0</v>
      </c>
      <c r="T29" s="2">
        <f t="shared" si="16"/>
        <v>0</v>
      </c>
      <c r="U29" s="32">
        <f t="shared" si="6"/>
        <v>0</v>
      </c>
      <c r="V29" s="31">
        <f t="shared" si="2"/>
        <v>0</v>
      </c>
      <c r="W29" s="32">
        <f t="shared" si="7"/>
        <v>0</v>
      </c>
    </row>
    <row r="30" spans="1:28" s="108" customFormat="1" x14ac:dyDescent="0.25">
      <c r="A30" s="322"/>
      <c r="B30" s="312"/>
      <c r="C30" s="13" t="s">
        <v>44</v>
      </c>
      <c r="D30" s="4" t="s">
        <v>16</v>
      </c>
      <c r="E30" s="69" t="s">
        <v>259</v>
      </c>
      <c r="F30" s="70"/>
      <c r="G30" s="27">
        <f>G22*3.1209%</f>
        <v>4.4341400433333336</v>
      </c>
      <c r="H30" s="5">
        <f t="shared" si="0"/>
        <v>195.1</v>
      </c>
      <c r="I30" s="28">
        <f t="shared" si="3"/>
        <v>5462.8</v>
      </c>
      <c r="J30" s="27">
        <f>J22*3.1209%</f>
        <v>8.5616689999999984</v>
      </c>
      <c r="K30" s="5">
        <f t="shared" si="13"/>
        <v>94.178358999999986</v>
      </c>
      <c r="L30" s="28">
        <f t="shared" si="4"/>
        <v>2636.9940519999996</v>
      </c>
      <c r="M30" s="27">
        <f>M22*3.1209%</f>
        <v>6.3341786399999993</v>
      </c>
      <c r="N30" s="5">
        <f t="shared" si="14"/>
        <v>209.02789511999998</v>
      </c>
      <c r="O30" s="28">
        <f t="shared" si="1"/>
        <v>5852.7810633599993</v>
      </c>
      <c r="P30" s="27">
        <f>P22*3.1209%</f>
        <v>15.39644</v>
      </c>
      <c r="Q30" s="5">
        <f t="shared" si="15"/>
        <v>369.51456000000002</v>
      </c>
      <c r="R30" s="28">
        <f t="shared" si="5"/>
        <v>10346.40768</v>
      </c>
      <c r="S30" s="27">
        <f>S22*3.1209%</f>
        <v>7.6982200000000001</v>
      </c>
      <c r="T30" s="5">
        <f t="shared" si="16"/>
        <v>869.89886000000001</v>
      </c>
      <c r="U30" s="28">
        <f t="shared" si="6"/>
        <v>24357.168079999999</v>
      </c>
      <c r="V30" s="27">
        <f t="shared" si="2"/>
        <v>1737.71967412</v>
      </c>
      <c r="W30" s="28">
        <f t="shared" si="7"/>
        <v>48656.150875359999</v>
      </c>
      <c r="AB30" s="52"/>
    </row>
    <row r="31" spans="1:28" x14ac:dyDescent="0.25">
      <c r="A31" s="322"/>
      <c r="B31" s="313"/>
      <c r="C31" s="6" t="s">
        <v>47</v>
      </c>
      <c r="D31" s="7" t="s">
        <v>7</v>
      </c>
      <c r="E31" s="71" t="s">
        <v>130</v>
      </c>
      <c r="F31" s="72"/>
      <c r="G31" s="29">
        <f>SUM(G22:G30)</f>
        <v>186.29511782111115</v>
      </c>
      <c r="H31" s="8">
        <f t="shared" si="0"/>
        <v>8196.99</v>
      </c>
      <c r="I31" s="30">
        <f t="shared" si="3"/>
        <v>229515.72</v>
      </c>
      <c r="J31" s="29">
        <f>SUM(J22:J30)</f>
        <v>359.70833566666664</v>
      </c>
      <c r="K31" s="8">
        <f t="shared" si="13"/>
        <v>3956.7916923333332</v>
      </c>
      <c r="L31" s="30">
        <f t="shared" si="4"/>
        <v>110790.16738533333</v>
      </c>
      <c r="M31" s="29">
        <f>SUM(M22:M30)</f>
        <v>266.12297863999999</v>
      </c>
      <c r="N31" s="8">
        <f t="shared" si="14"/>
        <v>8782.0582951199995</v>
      </c>
      <c r="O31" s="30">
        <f t="shared" si="1"/>
        <v>245897.63226335999</v>
      </c>
      <c r="P31" s="29">
        <f>SUM(P22:P30)</f>
        <v>646.86310666666668</v>
      </c>
      <c r="Q31" s="8">
        <f t="shared" si="15"/>
        <v>15524.71456</v>
      </c>
      <c r="R31" s="30">
        <f t="shared" si="5"/>
        <v>434692.00768000004</v>
      </c>
      <c r="S31" s="29">
        <f>SUM(S22:S30)</f>
        <v>323.43155333333334</v>
      </c>
      <c r="T31" s="8">
        <f t="shared" si="16"/>
        <v>36547.76552666667</v>
      </c>
      <c r="U31" s="30">
        <f t="shared" si="6"/>
        <v>1023337.4347466668</v>
      </c>
      <c r="V31" s="29">
        <f t="shared" si="2"/>
        <v>73008.320074120013</v>
      </c>
      <c r="W31" s="30">
        <f t="shared" si="7"/>
        <v>2044232.9620753604</v>
      </c>
    </row>
    <row r="32" spans="1:28" ht="25.5" customHeight="1" x14ac:dyDescent="0.25">
      <c r="A32" s="322"/>
      <c r="B32" s="311" t="s">
        <v>41</v>
      </c>
      <c r="C32" s="10" t="s">
        <v>48</v>
      </c>
      <c r="D32" s="11" t="s">
        <v>41</v>
      </c>
      <c r="E32" s="73" t="s">
        <v>102</v>
      </c>
      <c r="F32" s="74"/>
      <c r="G32" s="31">
        <f>H4/30*70/28</f>
        <v>106.55916666666667</v>
      </c>
      <c r="H32" s="2">
        <f t="shared" si="0"/>
        <v>4688.6000000000004</v>
      </c>
      <c r="I32" s="32">
        <f t="shared" si="3"/>
        <v>131280.80000000002</v>
      </c>
      <c r="J32" s="31">
        <f>K4/30*70/28</f>
        <v>205.75</v>
      </c>
      <c r="K32" s="2">
        <f t="shared" si="13"/>
        <v>2263.25</v>
      </c>
      <c r="L32" s="32">
        <f t="shared" si="4"/>
        <v>63371</v>
      </c>
      <c r="M32" s="31">
        <f>N4/30*70/28</f>
        <v>152.22000000000003</v>
      </c>
      <c r="N32" s="2">
        <f t="shared" si="14"/>
        <v>5023.2600000000011</v>
      </c>
      <c r="O32" s="32">
        <f t="shared" si="1"/>
        <v>140651.28000000003</v>
      </c>
      <c r="P32" s="31">
        <f>Q4/30*70/28</f>
        <v>370</v>
      </c>
      <c r="Q32" s="2">
        <f t="shared" si="15"/>
        <v>8880</v>
      </c>
      <c r="R32" s="32">
        <f t="shared" si="5"/>
        <v>248640</v>
      </c>
      <c r="S32" s="31">
        <f>T4/30*70/28</f>
        <v>185</v>
      </c>
      <c r="T32" s="2">
        <f t="shared" si="16"/>
        <v>20905</v>
      </c>
      <c r="U32" s="32">
        <f t="shared" si="6"/>
        <v>585340</v>
      </c>
      <c r="V32" s="31">
        <f t="shared" si="2"/>
        <v>41760.11</v>
      </c>
      <c r="W32" s="32">
        <f t="shared" si="7"/>
        <v>1169283.08</v>
      </c>
    </row>
    <row r="33" spans="1:28" x14ac:dyDescent="0.25">
      <c r="A33" s="322"/>
      <c r="B33" s="312"/>
      <c r="C33" s="10" t="s">
        <v>54</v>
      </c>
      <c r="D33" s="11" t="s">
        <v>9</v>
      </c>
      <c r="E33" s="73" t="s">
        <v>132</v>
      </c>
      <c r="F33" s="74"/>
      <c r="G33" s="31">
        <f>G32*8%</f>
        <v>8.5247333333333337</v>
      </c>
      <c r="H33" s="2">
        <f t="shared" si="0"/>
        <v>375.09</v>
      </c>
      <c r="I33" s="32">
        <f t="shared" si="3"/>
        <v>10502.519999999999</v>
      </c>
      <c r="J33" s="31">
        <f>J32*8%</f>
        <v>16.46</v>
      </c>
      <c r="K33" s="2">
        <f t="shared" si="13"/>
        <v>181.06</v>
      </c>
      <c r="L33" s="32">
        <f t="shared" si="4"/>
        <v>5069.68</v>
      </c>
      <c r="M33" s="31">
        <f>M32*8%</f>
        <v>12.177600000000002</v>
      </c>
      <c r="N33" s="2">
        <f t="shared" si="14"/>
        <v>401.86080000000004</v>
      </c>
      <c r="O33" s="32">
        <f t="shared" si="1"/>
        <v>11252.102400000002</v>
      </c>
      <c r="P33" s="31">
        <f>P32*8%</f>
        <v>29.6</v>
      </c>
      <c r="Q33" s="2">
        <f t="shared" si="15"/>
        <v>710.40000000000009</v>
      </c>
      <c r="R33" s="32">
        <f t="shared" si="5"/>
        <v>19891.200000000004</v>
      </c>
      <c r="S33" s="31">
        <f>S32*8%</f>
        <v>14.8</v>
      </c>
      <c r="T33" s="2">
        <f t="shared" si="16"/>
        <v>1672.4</v>
      </c>
      <c r="U33" s="32">
        <f t="shared" si="6"/>
        <v>46827.200000000004</v>
      </c>
      <c r="V33" s="31">
        <f t="shared" si="2"/>
        <v>3340.8108000000002</v>
      </c>
      <c r="W33" s="32">
        <f t="shared" si="7"/>
        <v>93542.702400000009</v>
      </c>
    </row>
    <row r="34" spans="1:28" x14ac:dyDescent="0.25">
      <c r="A34" s="322"/>
      <c r="B34" s="312"/>
      <c r="C34" s="10" t="s">
        <v>55</v>
      </c>
      <c r="D34" s="11" t="s">
        <v>12</v>
      </c>
      <c r="E34" s="73" t="s">
        <v>194</v>
      </c>
      <c r="F34" s="74"/>
      <c r="G34" s="31">
        <f>G32*20%</f>
        <v>21.311833333333336</v>
      </c>
      <c r="H34" s="2">
        <f t="shared" si="0"/>
        <v>937.72</v>
      </c>
      <c r="I34" s="32">
        <f t="shared" si="3"/>
        <v>26256.16</v>
      </c>
      <c r="J34" s="31">
        <f>J32*20%</f>
        <v>41.150000000000006</v>
      </c>
      <c r="K34" s="2">
        <f>J34*$G$4</f>
        <v>1810.6000000000004</v>
      </c>
      <c r="L34" s="32">
        <f t="shared" si="4"/>
        <v>50696.80000000001</v>
      </c>
      <c r="M34" s="31">
        <f>M32*20%</f>
        <v>30.444000000000006</v>
      </c>
      <c r="N34" s="2">
        <f>M34*$G$4</f>
        <v>1339.5360000000003</v>
      </c>
      <c r="O34" s="32">
        <f t="shared" si="1"/>
        <v>37507.008000000009</v>
      </c>
      <c r="P34" s="31">
        <f>P32*20%</f>
        <v>74</v>
      </c>
      <c r="Q34" s="2">
        <f>P34*$G$4</f>
        <v>3256</v>
      </c>
      <c r="R34" s="32">
        <f t="shared" si="5"/>
        <v>91168</v>
      </c>
      <c r="S34" s="31">
        <f>S32*20%</f>
        <v>37</v>
      </c>
      <c r="T34" s="2">
        <f>S34*$G$4</f>
        <v>1628</v>
      </c>
      <c r="U34" s="32">
        <f t="shared" si="6"/>
        <v>45584</v>
      </c>
      <c r="V34" s="31">
        <f t="shared" si="2"/>
        <v>8971.8559999999998</v>
      </c>
      <c r="W34" s="32">
        <f t="shared" si="7"/>
        <v>251211.96799999999</v>
      </c>
    </row>
    <row r="35" spans="1:28" x14ac:dyDescent="0.25">
      <c r="A35" s="322"/>
      <c r="B35" s="312"/>
      <c r="C35" s="10" t="s">
        <v>57</v>
      </c>
      <c r="D35" s="4" t="s">
        <v>100</v>
      </c>
      <c r="E35" s="73" t="s">
        <v>134</v>
      </c>
      <c r="F35" s="74"/>
      <c r="G35" s="31">
        <v>0</v>
      </c>
      <c r="H35" s="2">
        <f t="shared" si="0"/>
        <v>0</v>
      </c>
      <c r="I35" s="32">
        <f t="shared" si="3"/>
        <v>0</v>
      </c>
      <c r="J35" s="31">
        <v>0</v>
      </c>
      <c r="K35" s="2">
        <f t="shared" ref="K35:K46" si="17">J35*$J$4</f>
        <v>0</v>
      </c>
      <c r="L35" s="32">
        <f t="shared" si="4"/>
        <v>0</v>
      </c>
      <c r="M35" s="31">
        <v>0</v>
      </c>
      <c r="N35" s="2">
        <f t="shared" ref="N35:N46" si="18">M35*$M$4</f>
        <v>0</v>
      </c>
      <c r="O35" s="32">
        <f t="shared" si="1"/>
        <v>0</v>
      </c>
      <c r="P35" s="31">
        <v>0</v>
      </c>
      <c r="Q35" s="2">
        <f t="shared" ref="Q35:Q46" si="19">P35*$P$4</f>
        <v>0</v>
      </c>
      <c r="R35" s="32">
        <f t="shared" si="5"/>
        <v>0</v>
      </c>
      <c r="S35" s="31">
        <v>0</v>
      </c>
      <c r="T35" s="2">
        <f t="shared" ref="T35:T46" si="20">S35*$S$4</f>
        <v>0</v>
      </c>
      <c r="U35" s="32">
        <f t="shared" si="6"/>
        <v>0</v>
      </c>
      <c r="V35" s="31">
        <f t="shared" si="2"/>
        <v>0</v>
      </c>
      <c r="W35" s="32">
        <f t="shared" si="7"/>
        <v>0</v>
      </c>
    </row>
    <row r="36" spans="1:28" x14ac:dyDescent="0.25">
      <c r="A36" s="322"/>
      <c r="B36" s="312"/>
      <c r="C36" s="10" t="s">
        <v>58</v>
      </c>
      <c r="D36" s="4" t="s">
        <v>114</v>
      </c>
      <c r="E36" s="73" t="s">
        <v>135</v>
      </c>
      <c r="F36" s="74"/>
      <c r="G36" s="31">
        <v>0</v>
      </c>
      <c r="H36" s="2">
        <f t="shared" si="0"/>
        <v>0</v>
      </c>
      <c r="I36" s="32">
        <f t="shared" si="3"/>
        <v>0</v>
      </c>
      <c r="J36" s="31">
        <v>0</v>
      </c>
      <c r="K36" s="2">
        <f t="shared" si="17"/>
        <v>0</v>
      </c>
      <c r="L36" s="32">
        <f t="shared" si="4"/>
        <v>0</v>
      </c>
      <c r="M36" s="31">
        <v>0</v>
      </c>
      <c r="N36" s="2">
        <f t="shared" si="18"/>
        <v>0</v>
      </c>
      <c r="O36" s="32">
        <f t="shared" si="1"/>
        <v>0</v>
      </c>
      <c r="P36" s="31">
        <v>0</v>
      </c>
      <c r="Q36" s="2">
        <f t="shared" si="19"/>
        <v>0</v>
      </c>
      <c r="R36" s="32">
        <f t="shared" si="5"/>
        <v>0</v>
      </c>
      <c r="S36" s="31">
        <v>0</v>
      </c>
      <c r="T36" s="2">
        <f t="shared" si="20"/>
        <v>0</v>
      </c>
      <c r="U36" s="32">
        <f t="shared" si="6"/>
        <v>0</v>
      </c>
      <c r="V36" s="31">
        <f t="shared" si="2"/>
        <v>0</v>
      </c>
      <c r="W36" s="32">
        <f t="shared" si="7"/>
        <v>0</v>
      </c>
    </row>
    <row r="37" spans="1:28" x14ac:dyDescent="0.25">
      <c r="A37" s="322"/>
      <c r="B37" s="312"/>
      <c r="C37" s="10" t="s">
        <v>59</v>
      </c>
      <c r="D37" s="4" t="s">
        <v>115</v>
      </c>
      <c r="E37" s="73" t="s">
        <v>136</v>
      </c>
      <c r="F37" s="74"/>
      <c r="G37" s="31">
        <v>0</v>
      </c>
      <c r="H37" s="2">
        <f t="shared" si="0"/>
        <v>0</v>
      </c>
      <c r="I37" s="32">
        <f t="shared" si="3"/>
        <v>0</v>
      </c>
      <c r="J37" s="31">
        <v>0</v>
      </c>
      <c r="K37" s="2">
        <f t="shared" si="17"/>
        <v>0</v>
      </c>
      <c r="L37" s="32">
        <f t="shared" si="4"/>
        <v>0</v>
      </c>
      <c r="M37" s="31">
        <v>0</v>
      </c>
      <c r="N37" s="2">
        <f t="shared" si="18"/>
        <v>0</v>
      </c>
      <c r="O37" s="32">
        <f t="shared" si="1"/>
        <v>0</v>
      </c>
      <c r="P37" s="31">
        <v>0</v>
      </c>
      <c r="Q37" s="2">
        <f t="shared" si="19"/>
        <v>0</v>
      </c>
      <c r="R37" s="32">
        <f t="shared" si="5"/>
        <v>0</v>
      </c>
      <c r="S37" s="31">
        <v>0</v>
      </c>
      <c r="T37" s="2">
        <f t="shared" si="20"/>
        <v>0</v>
      </c>
      <c r="U37" s="32">
        <f t="shared" si="6"/>
        <v>0</v>
      </c>
      <c r="V37" s="31">
        <f t="shared" si="2"/>
        <v>0</v>
      </c>
      <c r="W37" s="32">
        <f t="shared" si="7"/>
        <v>0</v>
      </c>
    </row>
    <row r="38" spans="1:28" x14ac:dyDescent="0.25">
      <c r="A38" s="322"/>
      <c r="B38" s="312"/>
      <c r="C38" s="10" t="s">
        <v>60</v>
      </c>
      <c r="D38" s="4" t="s">
        <v>116</v>
      </c>
      <c r="E38" s="73" t="s">
        <v>137</v>
      </c>
      <c r="F38" s="74"/>
      <c r="G38" s="31">
        <v>0</v>
      </c>
      <c r="H38" s="2">
        <f t="shared" ref="H38:H69" si="21">ROUND(G38*$G$4,2)</f>
        <v>0</v>
      </c>
      <c r="I38" s="32">
        <f t="shared" si="3"/>
        <v>0</v>
      </c>
      <c r="J38" s="31">
        <v>0</v>
      </c>
      <c r="K38" s="2">
        <f t="shared" si="17"/>
        <v>0</v>
      </c>
      <c r="L38" s="32">
        <f t="shared" si="4"/>
        <v>0</v>
      </c>
      <c r="M38" s="31">
        <v>0</v>
      </c>
      <c r="N38" s="2">
        <f t="shared" si="18"/>
        <v>0</v>
      </c>
      <c r="O38" s="32">
        <f t="shared" si="1"/>
        <v>0</v>
      </c>
      <c r="P38" s="31">
        <v>0</v>
      </c>
      <c r="Q38" s="2">
        <f t="shared" si="19"/>
        <v>0</v>
      </c>
      <c r="R38" s="32">
        <f t="shared" si="5"/>
        <v>0</v>
      </c>
      <c r="S38" s="31">
        <v>0</v>
      </c>
      <c r="T38" s="2">
        <f t="shared" si="20"/>
        <v>0</v>
      </c>
      <c r="U38" s="32">
        <f t="shared" si="6"/>
        <v>0</v>
      </c>
      <c r="V38" s="31">
        <f t="shared" ref="V38:V69" si="22">H38+K38+N38+Q38+T38</f>
        <v>0</v>
      </c>
      <c r="W38" s="32">
        <f t="shared" si="7"/>
        <v>0</v>
      </c>
    </row>
    <row r="39" spans="1:28" x14ac:dyDescent="0.25">
      <c r="A39" s="322"/>
      <c r="B39" s="312"/>
      <c r="C39" s="10" t="s">
        <v>61</v>
      </c>
      <c r="D39" s="11" t="s">
        <v>14</v>
      </c>
      <c r="E39" s="73" t="s">
        <v>133</v>
      </c>
      <c r="F39" s="74"/>
      <c r="G39" s="31">
        <v>0</v>
      </c>
      <c r="H39" s="2">
        <f t="shared" si="21"/>
        <v>0</v>
      </c>
      <c r="I39" s="32">
        <f t="shared" si="3"/>
        <v>0</v>
      </c>
      <c r="J39" s="31">
        <v>0</v>
      </c>
      <c r="K39" s="2">
        <f t="shared" si="17"/>
        <v>0</v>
      </c>
      <c r="L39" s="32">
        <f t="shared" si="4"/>
        <v>0</v>
      </c>
      <c r="M39" s="31">
        <v>0</v>
      </c>
      <c r="N39" s="2">
        <f t="shared" si="18"/>
        <v>0</v>
      </c>
      <c r="O39" s="32">
        <f t="shared" si="1"/>
        <v>0</v>
      </c>
      <c r="P39" s="31">
        <v>0</v>
      </c>
      <c r="Q39" s="2">
        <f t="shared" si="19"/>
        <v>0</v>
      </c>
      <c r="R39" s="32">
        <f t="shared" si="5"/>
        <v>0</v>
      </c>
      <c r="S39" s="31">
        <v>0</v>
      </c>
      <c r="T39" s="2">
        <f t="shared" si="20"/>
        <v>0</v>
      </c>
      <c r="U39" s="32">
        <f t="shared" si="6"/>
        <v>0</v>
      </c>
      <c r="V39" s="31">
        <f t="shared" si="22"/>
        <v>0</v>
      </c>
      <c r="W39" s="32">
        <f t="shared" si="7"/>
        <v>0</v>
      </c>
    </row>
    <row r="40" spans="1:28" s="108" customFormat="1" x14ac:dyDescent="0.25">
      <c r="A40" s="322"/>
      <c r="B40" s="312"/>
      <c r="C40" s="13" t="s">
        <v>65</v>
      </c>
      <c r="D40" s="4" t="s">
        <v>16</v>
      </c>
      <c r="E40" s="69" t="s">
        <v>260</v>
      </c>
      <c r="F40" s="70"/>
      <c r="G40" s="27">
        <f>G32*3.1209%</f>
        <v>3.3256050324999999</v>
      </c>
      <c r="H40" s="5">
        <f t="shared" si="21"/>
        <v>146.33000000000001</v>
      </c>
      <c r="I40" s="28">
        <f t="shared" si="3"/>
        <v>4097.2400000000007</v>
      </c>
      <c r="J40" s="27">
        <f>J32*3.1209%</f>
        <v>6.4212517499999997</v>
      </c>
      <c r="K40" s="5">
        <f t="shared" si="17"/>
        <v>70.63376925</v>
      </c>
      <c r="L40" s="28">
        <f t="shared" si="4"/>
        <v>1977.745539</v>
      </c>
      <c r="M40" s="27">
        <f>M32*3.1209%</f>
        <v>4.7506339800000008</v>
      </c>
      <c r="N40" s="5">
        <f t="shared" si="18"/>
        <v>156.77092134000003</v>
      </c>
      <c r="O40" s="28">
        <f t="shared" si="1"/>
        <v>4389.5857975200006</v>
      </c>
      <c r="P40" s="27">
        <f>P32*3.1209%</f>
        <v>11.547329999999999</v>
      </c>
      <c r="Q40" s="5">
        <f t="shared" si="19"/>
        <v>277.13591999999994</v>
      </c>
      <c r="R40" s="28">
        <f t="shared" si="5"/>
        <v>7759.8057599999984</v>
      </c>
      <c r="S40" s="27">
        <f>S32*3.1209%</f>
        <v>5.7736649999999994</v>
      </c>
      <c r="T40" s="5">
        <f t="shared" si="20"/>
        <v>652.42414499999995</v>
      </c>
      <c r="U40" s="28">
        <f t="shared" si="6"/>
        <v>18267.876059999999</v>
      </c>
      <c r="V40" s="27">
        <f t="shared" si="22"/>
        <v>1303.29475559</v>
      </c>
      <c r="W40" s="28">
        <f t="shared" si="7"/>
        <v>36492.253156520004</v>
      </c>
      <c r="AB40" s="52"/>
    </row>
    <row r="41" spans="1:28" x14ac:dyDescent="0.25">
      <c r="A41" s="322"/>
      <c r="B41" s="313"/>
      <c r="C41" s="6" t="s">
        <v>66</v>
      </c>
      <c r="D41" s="7" t="s">
        <v>7</v>
      </c>
      <c r="E41" s="71" t="s">
        <v>131</v>
      </c>
      <c r="F41" s="72"/>
      <c r="G41" s="29">
        <f>SUM(G32:G40)</f>
        <v>139.72133836583333</v>
      </c>
      <c r="H41" s="8">
        <f t="shared" si="21"/>
        <v>6147.74</v>
      </c>
      <c r="I41" s="30">
        <f t="shared" si="3"/>
        <v>172136.72</v>
      </c>
      <c r="J41" s="29">
        <f>SUM(J32:J40)</f>
        <v>269.78125175000002</v>
      </c>
      <c r="K41" s="8">
        <f t="shared" si="17"/>
        <v>2967.5937692500002</v>
      </c>
      <c r="L41" s="30">
        <f t="shared" si="4"/>
        <v>83092.625539000001</v>
      </c>
      <c r="M41" s="29">
        <f>SUM(M32:M40)</f>
        <v>199.59223398000006</v>
      </c>
      <c r="N41" s="8">
        <f t="shared" si="18"/>
        <v>6586.5437213400019</v>
      </c>
      <c r="O41" s="30">
        <f t="shared" si="1"/>
        <v>184423.22419752006</v>
      </c>
      <c r="P41" s="29">
        <f>SUM(P32:P40)</f>
        <v>485.14733000000001</v>
      </c>
      <c r="Q41" s="8">
        <f t="shared" si="19"/>
        <v>11643.53592</v>
      </c>
      <c r="R41" s="30">
        <f t="shared" si="5"/>
        <v>326019.00576000003</v>
      </c>
      <c r="S41" s="29">
        <f>SUM(S32:S40)</f>
        <v>242.57366500000001</v>
      </c>
      <c r="T41" s="8">
        <f t="shared" si="20"/>
        <v>27410.824145000002</v>
      </c>
      <c r="U41" s="30">
        <f t="shared" si="6"/>
        <v>767503.07606000011</v>
      </c>
      <c r="V41" s="29">
        <f t="shared" si="22"/>
        <v>54756.237555590007</v>
      </c>
      <c r="W41" s="30">
        <f t="shared" si="7"/>
        <v>1533174.6515565203</v>
      </c>
    </row>
    <row r="42" spans="1:28" ht="51" customHeight="1" x14ac:dyDescent="0.25">
      <c r="A42" s="322"/>
      <c r="B42" s="311" t="s">
        <v>75</v>
      </c>
      <c r="C42" s="10" t="s">
        <v>67</v>
      </c>
      <c r="D42" s="11" t="s">
        <v>2</v>
      </c>
      <c r="E42" s="94" t="s">
        <v>172</v>
      </c>
      <c r="F42" s="95"/>
      <c r="G42" s="31">
        <f>H4/30*(26.6339*28/12)/28</f>
        <v>94.602872969444434</v>
      </c>
      <c r="H42" s="2">
        <f t="shared" si="21"/>
        <v>4162.53</v>
      </c>
      <c r="I42" s="32">
        <f t="shared" si="3"/>
        <v>116550.84</v>
      </c>
      <c r="J42" s="31">
        <f>K4/30*(26.6339*28/12)/28</f>
        <v>182.66416416666667</v>
      </c>
      <c r="K42" s="2">
        <f t="shared" si="17"/>
        <v>2009.3058058333334</v>
      </c>
      <c r="L42" s="32">
        <f t="shared" si="4"/>
        <v>56260.562563333333</v>
      </c>
      <c r="M42" s="31">
        <f>N4/30*(28.1028*28/12)/28</f>
        <v>142.59360720000001</v>
      </c>
      <c r="N42" s="2">
        <f t="shared" si="18"/>
        <v>4705.5890376000007</v>
      </c>
      <c r="O42" s="32">
        <f t="shared" si="1"/>
        <v>131756.49305280001</v>
      </c>
      <c r="P42" s="31">
        <f>Q4/30*(26.6339*28/12)/28</f>
        <v>328.48476666666664</v>
      </c>
      <c r="Q42" s="2">
        <f t="shared" si="19"/>
        <v>7883.634399999999</v>
      </c>
      <c r="R42" s="32">
        <f t="shared" si="5"/>
        <v>220741.76319999999</v>
      </c>
      <c r="S42" s="31">
        <f>T4/30*(26.6339*28/12)/28</f>
        <v>164.24238333333332</v>
      </c>
      <c r="T42" s="2">
        <f t="shared" si="20"/>
        <v>18559.389316666664</v>
      </c>
      <c r="U42" s="32">
        <f t="shared" si="6"/>
        <v>519662.90086666658</v>
      </c>
      <c r="V42" s="31">
        <f t="shared" si="22"/>
        <v>37320.448560099998</v>
      </c>
      <c r="W42" s="32">
        <f t="shared" si="7"/>
        <v>1044972.5596828</v>
      </c>
    </row>
    <row r="43" spans="1:28" x14ac:dyDescent="0.25">
      <c r="A43" s="322"/>
      <c r="B43" s="312"/>
      <c r="C43" s="10" t="s">
        <v>78</v>
      </c>
      <c r="D43" s="11" t="s">
        <v>50</v>
      </c>
      <c r="E43" s="94" t="s">
        <v>173</v>
      </c>
      <c r="F43" s="95"/>
      <c r="G43" s="31">
        <f>G21/30*(26.6339*28/12)/28</f>
        <v>55.494511355988095</v>
      </c>
      <c r="H43" s="2">
        <f t="shared" si="21"/>
        <v>2441.7600000000002</v>
      </c>
      <c r="I43" s="32">
        <f t="shared" si="3"/>
        <v>68369.279999999999</v>
      </c>
      <c r="J43" s="31">
        <f>J21/30*(26.6339*28/12)/28</f>
        <v>50.588239417857146</v>
      </c>
      <c r="K43" s="2">
        <f t="shared" si="17"/>
        <v>556.47063359642857</v>
      </c>
      <c r="L43" s="32">
        <f t="shared" si="4"/>
        <v>15581.177740700001</v>
      </c>
      <c r="M43" s="31">
        <f>M21/30*(28.1028*28/12)/28</f>
        <v>56.172037227428575</v>
      </c>
      <c r="N43" s="2">
        <f t="shared" si="18"/>
        <v>1853.6772285051429</v>
      </c>
      <c r="O43" s="32">
        <f t="shared" si="1"/>
        <v>51902.962398144002</v>
      </c>
      <c r="P43" s="31">
        <f>P21/30*(26.6339*28/12)/28</f>
        <v>48.502551391666671</v>
      </c>
      <c r="Q43" s="2">
        <f t="shared" si="19"/>
        <v>1164.0612334000002</v>
      </c>
      <c r="R43" s="32">
        <f t="shared" si="5"/>
        <v>32593.714535200008</v>
      </c>
      <c r="S43" s="31">
        <f>S21/30*(26.6339*28/12)/28</f>
        <v>51.614595778571427</v>
      </c>
      <c r="T43" s="2">
        <f t="shared" si="20"/>
        <v>5832.4493229785712</v>
      </c>
      <c r="U43" s="32">
        <f t="shared" si="6"/>
        <v>163308.58104339999</v>
      </c>
      <c r="V43" s="31">
        <f t="shared" si="22"/>
        <v>11848.418418480143</v>
      </c>
      <c r="W43" s="32">
        <f t="shared" si="7"/>
        <v>331755.71571744402</v>
      </c>
    </row>
    <row r="44" spans="1:28" x14ac:dyDescent="0.25">
      <c r="A44" s="322"/>
      <c r="B44" s="312"/>
      <c r="C44" s="10" t="s">
        <v>79</v>
      </c>
      <c r="D44" s="11" t="s">
        <v>73</v>
      </c>
      <c r="E44" s="94" t="s">
        <v>104</v>
      </c>
      <c r="F44" s="95"/>
      <c r="G44" s="31">
        <f>(H4+H4/3)/12/28</f>
        <v>5.0742460317460312</v>
      </c>
      <c r="H44" s="2">
        <f t="shared" si="21"/>
        <v>223.27</v>
      </c>
      <c r="I44" s="32">
        <f t="shared" si="3"/>
        <v>6251.56</v>
      </c>
      <c r="J44" s="31">
        <f>(K4+K4/3)/12/28</f>
        <v>9.7976190476190474</v>
      </c>
      <c r="K44" s="2">
        <f t="shared" si="17"/>
        <v>107.77380952380952</v>
      </c>
      <c r="L44" s="32">
        <f t="shared" si="4"/>
        <v>3017.6666666666665</v>
      </c>
      <c r="M44" s="31">
        <f>(N4+N4/3)/12/28</f>
        <v>7.2485714285714291</v>
      </c>
      <c r="N44" s="2">
        <f t="shared" si="18"/>
        <v>239.20285714285717</v>
      </c>
      <c r="O44" s="32">
        <f t="shared" si="1"/>
        <v>6697.68</v>
      </c>
      <c r="P44" s="31">
        <f>(Q4+Q4/3)/12/28</f>
        <v>17.619047619047617</v>
      </c>
      <c r="Q44" s="2">
        <f t="shared" si="19"/>
        <v>422.85714285714278</v>
      </c>
      <c r="R44" s="32">
        <f t="shared" si="5"/>
        <v>11839.999999999998</v>
      </c>
      <c r="S44" s="31">
        <f>(T4+T4/3)/12/28</f>
        <v>8.8095238095238084</v>
      </c>
      <c r="T44" s="2">
        <f t="shared" si="20"/>
        <v>995.47619047619037</v>
      </c>
      <c r="U44" s="32">
        <f t="shared" si="6"/>
        <v>27873.333333333328</v>
      </c>
      <c r="V44" s="31">
        <f t="shared" si="22"/>
        <v>1988.58</v>
      </c>
      <c r="W44" s="32">
        <f t="shared" si="7"/>
        <v>55680.24</v>
      </c>
    </row>
    <row r="45" spans="1:28" x14ac:dyDescent="0.25">
      <c r="A45" s="322"/>
      <c r="B45" s="312"/>
      <c r="C45" s="10" t="s">
        <v>84</v>
      </c>
      <c r="D45" s="11" t="s">
        <v>41</v>
      </c>
      <c r="E45" s="94" t="s">
        <v>80</v>
      </c>
      <c r="F45" s="95"/>
      <c r="G45" s="31">
        <f>H4/12/28</f>
        <v>3.805684523809524</v>
      </c>
      <c r="H45" s="2">
        <f t="shared" si="21"/>
        <v>167.45</v>
      </c>
      <c r="I45" s="32">
        <f t="shared" si="3"/>
        <v>4688.5999999999995</v>
      </c>
      <c r="J45" s="31">
        <f>K4/12/28</f>
        <v>7.3482142857142856</v>
      </c>
      <c r="K45" s="2">
        <f t="shared" si="17"/>
        <v>80.830357142857139</v>
      </c>
      <c r="L45" s="32">
        <f t="shared" si="4"/>
        <v>2263.25</v>
      </c>
      <c r="M45" s="31">
        <f>N4/12/28</f>
        <v>5.4364285714285714</v>
      </c>
      <c r="N45" s="2">
        <f t="shared" si="18"/>
        <v>179.40214285714285</v>
      </c>
      <c r="O45" s="32">
        <f t="shared" si="1"/>
        <v>5023.26</v>
      </c>
      <c r="P45" s="31">
        <f>Q4/12/28</f>
        <v>13.214285714285714</v>
      </c>
      <c r="Q45" s="2">
        <f t="shared" si="19"/>
        <v>317.14285714285711</v>
      </c>
      <c r="R45" s="32">
        <f t="shared" si="5"/>
        <v>8880</v>
      </c>
      <c r="S45" s="31">
        <f>T4/12/28</f>
        <v>6.6071428571428568</v>
      </c>
      <c r="T45" s="2">
        <f t="shared" si="20"/>
        <v>746.60714285714278</v>
      </c>
      <c r="U45" s="32">
        <f t="shared" si="6"/>
        <v>20904.999999999996</v>
      </c>
      <c r="V45" s="31">
        <f t="shared" si="22"/>
        <v>1491.4324999999999</v>
      </c>
      <c r="W45" s="32">
        <f t="shared" si="7"/>
        <v>41760.11</v>
      </c>
    </row>
    <row r="46" spans="1:28" x14ac:dyDescent="0.25">
      <c r="A46" s="322"/>
      <c r="B46" s="312"/>
      <c r="C46" s="10" t="s">
        <v>85</v>
      </c>
      <c r="D46" s="11" t="s">
        <v>9</v>
      </c>
      <c r="E46" s="73" t="s">
        <v>139</v>
      </c>
      <c r="F46" s="74"/>
      <c r="G46" s="31">
        <f>(G42+G44+G45)*8%</f>
        <v>8.2786242819999991</v>
      </c>
      <c r="H46" s="2">
        <f t="shared" si="21"/>
        <v>364.26</v>
      </c>
      <c r="I46" s="32">
        <f t="shared" si="3"/>
        <v>10199.279999999999</v>
      </c>
      <c r="J46" s="31">
        <f>(J42+J44+J45)*8%</f>
        <v>15.984799799999999</v>
      </c>
      <c r="K46" s="2">
        <f t="shared" si="17"/>
        <v>175.83279779999998</v>
      </c>
      <c r="L46" s="32">
        <f t="shared" si="4"/>
        <v>4923.3183383999994</v>
      </c>
      <c r="M46" s="31">
        <f>(M42+M44+M45)*8%</f>
        <v>12.422288576000001</v>
      </c>
      <c r="N46" s="2">
        <f t="shared" si="18"/>
        <v>409.93552300800008</v>
      </c>
      <c r="O46" s="32">
        <f t="shared" si="1"/>
        <v>11478.194644224002</v>
      </c>
      <c r="P46" s="31">
        <f>(P42+P44+P45)*8%</f>
        <v>28.745447999999996</v>
      </c>
      <c r="Q46" s="2">
        <f t="shared" si="19"/>
        <v>689.89075199999991</v>
      </c>
      <c r="R46" s="32">
        <f t="shared" si="5"/>
        <v>19316.941055999996</v>
      </c>
      <c r="S46" s="31">
        <f>(S42+S44+S45)*8%</f>
        <v>14.372723999999998</v>
      </c>
      <c r="T46" s="2">
        <f t="shared" si="20"/>
        <v>1624.1178119999997</v>
      </c>
      <c r="U46" s="32">
        <f t="shared" si="6"/>
        <v>45475.29873599999</v>
      </c>
      <c r="V46" s="31">
        <f t="shared" si="22"/>
        <v>3264.0368848079997</v>
      </c>
      <c r="W46" s="32">
        <f t="shared" si="7"/>
        <v>91393.032774623993</v>
      </c>
    </row>
    <row r="47" spans="1:28" x14ac:dyDescent="0.25">
      <c r="A47" s="322"/>
      <c r="B47" s="312"/>
      <c r="C47" s="10" t="s">
        <v>87</v>
      </c>
      <c r="D47" s="11" t="s">
        <v>12</v>
      </c>
      <c r="E47" s="73" t="s">
        <v>195</v>
      </c>
      <c r="F47" s="74"/>
      <c r="G47" s="31">
        <f>(G42+G44+G45)*20%</f>
        <v>20.696560704999996</v>
      </c>
      <c r="H47" s="2">
        <f t="shared" si="21"/>
        <v>910.65</v>
      </c>
      <c r="I47" s="32">
        <f t="shared" ref="I47:W47" si="23">(I42+I44+I45)*20%</f>
        <v>25498.2</v>
      </c>
      <c r="J47" s="31">
        <f t="shared" si="23"/>
        <v>39.961999499999997</v>
      </c>
      <c r="K47" s="2">
        <f t="shared" si="23"/>
        <v>439.58199450000006</v>
      </c>
      <c r="L47" s="32">
        <f t="shared" si="23"/>
        <v>12308.295846000001</v>
      </c>
      <c r="M47" s="31">
        <f t="shared" si="23"/>
        <v>31.055721440000003</v>
      </c>
      <c r="N47" s="2">
        <f t="shared" si="23"/>
        <v>1024.8388075200003</v>
      </c>
      <c r="O47" s="32">
        <f t="shared" si="23"/>
        <v>28695.486610560005</v>
      </c>
      <c r="P47" s="31">
        <f t="shared" si="23"/>
        <v>71.863619999999997</v>
      </c>
      <c r="Q47" s="2">
        <f t="shared" si="23"/>
        <v>1724.7268799999999</v>
      </c>
      <c r="R47" s="32">
        <f t="shared" si="23"/>
        <v>48292.352639999997</v>
      </c>
      <c r="S47" s="31">
        <f t="shared" si="23"/>
        <v>35.931809999999999</v>
      </c>
      <c r="T47" s="2">
        <f t="shared" si="23"/>
        <v>4060.2945299999992</v>
      </c>
      <c r="U47" s="32">
        <f t="shared" si="23"/>
        <v>113688.24683999999</v>
      </c>
      <c r="V47" s="31">
        <f t="shared" si="22"/>
        <v>8160.0922120199994</v>
      </c>
      <c r="W47" s="32">
        <f t="shared" si="23"/>
        <v>228482.58193656002</v>
      </c>
    </row>
    <row r="48" spans="1:28" x14ac:dyDescent="0.25">
      <c r="A48" s="322"/>
      <c r="B48" s="312"/>
      <c r="C48" s="10" t="s">
        <v>88</v>
      </c>
      <c r="D48" s="4" t="s">
        <v>100</v>
      </c>
      <c r="E48" s="73" t="s">
        <v>140</v>
      </c>
      <c r="F48" s="74"/>
      <c r="G48" s="31">
        <v>0</v>
      </c>
      <c r="H48" s="2">
        <f t="shared" si="21"/>
        <v>0</v>
      </c>
      <c r="I48" s="32">
        <f t="shared" si="3"/>
        <v>0</v>
      </c>
      <c r="J48" s="31">
        <v>0</v>
      </c>
      <c r="K48" s="2">
        <f t="shared" ref="K48:K58" si="24">J48*$J$4</f>
        <v>0</v>
      </c>
      <c r="L48" s="32">
        <f t="shared" si="4"/>
        <v>0</v>
      </c>
      <c r="M48" s="31">
        <v>0</v>
      </c>
      <c r="N48" s="2">
        <f t="shared" ref="N48:N58" si="25">M48*$M$4</f>
        <v>0</v>
      </c>
      <c r="O48" s="32">
        <f t="shared" si="1"/>
        <v>0</v>
      </c>
      <c r="P48" s="31">
        <v>0</v>
      </c>
      <c r="Q48" s="2">
        <f t="shared" ref="Q48:Q58" si="26">P48*$P$4</f>
        <v>0</v>
      </c>
      <c r="R48" s="32">
        <f t="shared" si="5"/>
        <v>0</v>
      </c>
      <c r="S48" s="31">
        <v>0</v>
      </c>
      <c r="T48" s="2">
        <f t="shared" ref="T48:T58" si="27">S48*$S$4</f>
        <v>0</v>
      </c>
      <c r="U48" s="32">
        <f t="shared" si="6"/>
        <v>0</v>
      </c>
      <c r="V48" s="31">
        <f t="shared" si="22"/>
        <v>0</v>
      </c>
      <c r="W48" s="32">
        <f t="shared" si="7"/>
        <v>0</v>
      </c>
    </row>
    <row r="49" spans="1:28" x14ac:dyDescent="0.25">
      <c r="A49" s="322"/>
      <c r="B49" s="312"/>
      <c r="C49" s="10" t="s">
        <v>89</v>
      </c>
      <c r="D49" s="4" t="s">
        <v>114</v>
      </c>
      <c r="E49" s="73" t="s">
        <v>141</v>
      </c>
      <c r="F49" s="74"/>
      <c r="G49" s="31">
        <v>0</v>
      </c>
      <c r="H49" s="2">
        <f t="shared" si="21"/>
        <v>0</v>
      </c>
      <c r="I49" s="32">
        <f t="shared" si="3"/>
        <v>0</v>
      </c>
      <c r="J49" s="31">
        <v>0</v>
      </c>
      <c r="K49" s="2">
        <f t="shared" si="24"/>
        <v>0</v>
      </c>
      <c r="L49" s="32">
        <f t="shared" si="4"/>
        <v>0</v>
      </c>
      <c r="M49" s="31">
        <v>0</v>
      </c>
      <c r="N49" s="2">
        <f t="shared" si="25"/>
        <v>0</v>
      </c>
      <c r="O49" s="32">
        <f t="shared" si="1"/>
        <v>0</v>
      </c>
      <c r="P49" s="31">
        <v>0</v>
      </c>
      <c r="Q49" s="2">
        <f t="shared" si="26"/>
        <v>0</v>
      </c>
      <c r="R49" s="32">
        <f t="shared" si="5"/>
        <v>0</v>
      </c>
      <c r="S49" s="31">
        <v>0</v>
      </c>
      <c r="T49" s="2">
        <f t="shared" si="27"/>
        <v>0</v>
      </c>
      <c r="U49" s="32">
        <f t="shared" si="6"/>
        <v>0</v>
      </c>
      <c r="V49" s="31">
        <f t="shared" si="22"/>
        <v>0</v>
      </c>
      <c r="W49" s="32">
        <f t="shared" si="7"/>
        <v>0</v>
      </c>
    </row>
    <row r="50" spans="1:28" x14ac:dyDescent="0.25">
      <c r="A50" s="322"/>
      <c r="B50" s="312"/>
      <c r="C50" s="10" t="s">
        <v>90</v>
      </c>
      <c r="D50" s="4" t="s">
        <v>115</v>
      </c>
      <c r="E50" s="73" t="s">
        <v>142</v>
      </c>
      <c r="F50" s="74"/>
      <c r="G50" s="31">
        <v>0</v>
      </c>
      <c r="H50" s="2">
        <f t="shared" si="21"/>
        <v>0</v>
      </c>
      <c r="I50" s="32">
        <f t="shared" si="3"/>
        <v>0</v>
      </c>
      <c r="J50" s="31">
        <v>0</v>
      </c>
      <c r="K50" s="2">
        <f t="shared" si="24"/>
        <v>0</v>
      </c>
      <c r="L50" s="32">
        <f t="shared" si="4"/>
        <v>0</v>
      </c>
      <c r="M50" s="31">
        <v>0</v>
      </c>
      <c r="N50" s="2">
        <f t="shared" si="25"/>
        <v>0</v>
      </c>
      <c r="O50" s="32">
        <f t="shared" si="1"/>
        <v>0</v>
      </c>
      <c r="P50" s="31">
        <v>0</v>
      </c>
      <c r="Q50" s="2">
        <f t="shared" si="26"/>
        <v>0</v>
      </c>
      <c r="R50" s="32">
        <f t="shared" si="5"/>
        <v>0</v>
      </c>
      <c r="S50" s="31">
        <v>0</v>
      </c>
      <c r="T50" s="2">
        <f t="shared" si="27"/>
        <v>0</v>
      </c>
      <c r="U50" s="32">
        <f t="shared" si="6"/>
        <v>0</v>
      </c>
      <c r="V50" s="31">
        <f t="shared" si="22"/>
        <v>0</v>
      </c>
      <c r="W50" s="32">
        <f t="shared" si="7"/>
        <v>0</v>
      </c>
    </row>
    <row r="51" spans="1:28" x14ac:dyDescent="0.25">
      <c r="A51" s="322"/>
      <c r="B51" s="312"/>
      <c r="C51" s="10" t="s">
        <v>91</v>
      </c>
      <c r="D51" s="4" t="s">
        <v>116</v>
      </c>
      <c r="E51" s="73" t="s">
        <v>143</v>
      </c>
      <c r="F51" s="74"/>
      <c r="G51" s="31">
        <v>0</v>
      </c>
      <c r="H51" s="2">
        <f t="shared" si="21"/>
        <v>0</v>
      </c>
      <c r="I51" s="32">
        <f t="shared" si="3"/>
        <v>0</v>
      </c>
      <c r="J51" s="31">
        <v>0</v>
      </c>
      <c r="K51" s="2">
        <f t="shared" si="24"/>
        <v>0</v>
      </c>
      <c r="L51" s="32">
        <f t="shared" si="4"/>
        <v>0</v>
      </c>
      <c r="M51" s="31">
        <v>0</v>
      </c>
      <c r="N51" s="2">
        <f t="shared" si="25"/>
        <v>0</v>
      </c>
      <c r="O51" s="32">
        <f t="shared" si="1"/>
        <v>0</v>
      </c>
      <c r="P51" s="31">
        <v>0</v>
      </c>
      <c r="Q51" s="2">
        <f t="shared" si="26"/>
        <v>0</v>
      </c>
      <c r="R51" s="32">
        <f t="shared" si="5"/>
        <v>0</v>
      </c>
      <c r="S51" s="31">
        <v>0</v>
      </c>
      <c r="T51" s="2">
        <f t="shared" si="27"/>
        <v>0</v>
      </c>
      <c r="U51" s="32">
        <f t="shared" si="6"/>
        <v>0</v>
      </c>
      <c r="V51" s="31">
        <f t="shared" si="22"/>
        <v>0</v>
      </c>
      <c r="W51" s="32">
        <f t="shared" si="7"/>
        <v>0</v>
      </c>
    </row>
    <row r="52" spans="1:28" x14ac:dyDescent="0.25">
      <c r="A52" s="322"/>
      <c r="B52" s="312"/>
      <c r="C52" s="10" t="s">
        <v>92</v>
      </c>
      <c r="D52" s="11" t="s">
        <v>14</v>
      </c>
      <c r="E52" s="73" t="s">
        <v>191</v>
      </c>
      <c r="F52" s="74"/>
      <c r="G52" s="31">
        <v>0</v>
      </c>
      <c r="H52" s="2">
        <f t="shared" si="21"/>
        <v>0</v>
      </c>
      <c r="I52" s="32">
        <f t="shared" si="3"/>
        <v>0</v>
      </c>
      <c r="J52" s="31">
        <v>0</v>
      </c>
      <c r="K52" s="2">
        <f t="shared" si="24"/>
        <v>0</v>
      </c>
      <c r="L52" s="32">
        <f t="shared" si="4"/>
        <v>0</v>
      </c>
      <c r="M52" s="31">
        <v>0</v>
      </c>
      <c r="N52" s="2">
        <f t="shared" si="25"/>
        <v>0</v>
      </c>
      <c r="O52" s="32">
        <f t="shared" si="1"/>
        <v>0</v>
      </c>
      <c r="P52" s="31">
        <v>0</v>
      </c>
      <c r="Q52" s="2">
        <f t="shared" si="26"/>
        <v>0</v>
      </c>
      <c r="R52" s="32">
        <f t="shared" si="5"/>
        <v>0</v>
      </c>
      <c r="S52" s="31">
        <v>0</v>
      </c>
      <c r="T52" s="2">
        <f t="shared" si="27"/>
        <v>0</v>
      </c>
      <c r="U52" s="32">
        <f t="shared" si="6"/>
        <v>0</v>
      </c>
      <c r="V52" s="31">
        <f t="shared" si="22"/>
        <v>0</v>
      </c>
      <c r="W52" s="32">
        <f t="shared" si="7"/>
        <v>0</v>
      </c>
    </row>
    <row r="53" spans="1:28" s="108" customFormat="1" x14ac:dyDescent="0.25">
      <c r="A53" s="322"/>
      <c r="B53" s="312"/>
      <c r="C53" s="13" t="s">
        <v>93</v>
      </c>
      <c r="D53" s="4" t="s">
        <v>16</v>
      </c>
      <c r="E53" s="69" t="s">
        <v>261</v>
      </c>
      <c r="F53" s="70"/>
      <c r="G53" s="27">
        <f>(G42+G44+G45)*3.1209%</f>
        <v>3.229594815211724</v>
      </c>
      <c r="H53" s="5">
        <f t="shared" si="21"/>
        <v>142.1</v>
      </c>
      <c r="I53" s="28">
        <f t="shared" si="3"/>
        <v>3978.7999999999997</v>
      </c>
      <c r="J53" s="27">
        <f>(J42+J44+J45)*3.1209%</f>
        <v>6.2358702119774989</v>
      </c>
      <c r="K53" s="5">
        <f t="shared" si="24"/>
        <v>68.594572331752488</v>
      </c>
      <c r="L53" s="28">
        <f t="shared" si="4"/>
        <v>1920.6480252890697</v>
      </c>
      <c r="M53" s="27">
        <f>(M42+M44+M45)*3.1209%</f>
        <v>4.8460900521047998</v>
      </c>
      <c r="N53" s="5">
        <f t="shared" si="25"/>
        <v>159.92097171945841</v>
      </c>
      <c r="O53" s="28">
        <f t="shared" si="1"/>
        <v>4477.7872081448349</v>
      </c>
      <c r="P53" s="27">
        <f>(P42+P44+P45)*3.1209%</f>
        <v>11.213958582899998</v>
      </c>
      <c r="Q53" s="5">
        <f t="shared" si="26"/>
        <v>269.13500598959996</v>
      </c>
      <c r="R53" s="28">
        <f t="shared" si="5"/>
        <v>7535.7801677087991</v>
      </c>
      <c r="S53" s="27">
        <f>(S42+S44+S45)*3.1209%</f>
        <v>5.6069792914499992</v>
      </c>
      <c r="T53" s="5">
        <f t="shared" si="27"/>
        <v>633.58865993384995</v>
      </c>
      <c r="U53" s="28">
        <f t="shared" si="6"/>
        <v>17740.482478147798</v>
      </c>
      <c r="V53" s="27">
        <f t="shared" si="22"/>
        <v>1273.3392099746607</v>
      </c>
      <c r="W53" s="28">
        <f t="shared" si="7"/>
        <v>35653.497879290502</v>
      </c>
      <c r="AB53" s="52"/>
    </row>
    <row r="54" spans="1:28" x14ac:dyDescent="0.25">
      <c r="A54" s="322"/>
      <c r="B54" s="313"/>
      <c r="C54" s="6" t="s">
        <v>108</v>
      </c>
      <c r="D54" s="7" t="s">
        <v>7</v>
      </c>
      <c r="E54" s="71" t="s">
        <v>138</v>
      </c>
      <c r="F54" s="72"/>
      <c r="G54" s="29">
        <f>SUM(G42:G53)</f>
        <v>191.18209468319984</v>
      </c>
      <c r="H54" s="8">
        <f t="shared" si="21"/>
        <v>8412.01</v>
      </c>
      <c r="I54" s="30">
        <f t="shared" si="3"/>
        <v>235536.28</v>
      </c>
      <c r="J54" s="29">
        <f>SUM(J42:J53)</f>
        <v>312.58090642983461</v>
      </c>
      <c r="K54" s="8">
        <f t="shared" si="24"/>
        <v>3438.3899707281807</v>
      </c>
      <c r="L54" s="30">
        <f t="shared" si="4"/>
        <v>96274.919180389057</v>
      </c>
      <c r="M54" s="29">
        <f>SUM(M42:M53)</f>
        <v>259.77474449553341</v>
      </c>
      <c r="N54" s="8">
        <f t="shared" si="25"/>
        <v>8572.5665683526022</v>
      </c>
      <c r="O54" s="30">
        <f t="shared" si="1"/>
        <v>240031.86391387286</v>
      </c>
      <c r="P54" s="29">
        <f>SUM(P42:P53)</f>
        <v>519.64367797456657</v>
      </c>
      <c r="Q54" s="8">
        <f t="shared" si="26"/>
        <v>12471.448271389598</v>
      </c>
      <c r="R54" s="30">
        <f t="shared" si="5"/>
        <v>349200.55159890873</v>
      </c>
      <c r="S54" s="29">
        <f>SUM(S42:S53)</f>
        <v>287.18515907002143</v>
      </c>
      <c r="T54" s="8">
        <f t="shared" si="27"/>
        <v>32451.922974912421</v>
      </c>
      <c r="U54" s="30">
        <f t="shared" si="6"/>
        <v>908653.84329754778</v>
      </c>
      <c r="V54" s="29">
        <f t="shared" si="22"/>
        <v>65346.337785382799</v>
      </c>
      <c r="W54" s="30">
        <f t="shared" si="7"/>
        <v>1829697.4579907183</v>
      </c>
      <c r="X54" s="1"/>
    </row>
    <row r="55" spans="1:28" ht="38.25" customHeight="1" x14ac:dyDescent="0.25">
      <c r="A55" s="322"/>
      <c r="B55" s="311" t="s">
        <v>32</v>
      </c>
      <c r="C55" s="13" t="s">
        <v>109</v>
      </c>
      <c r="D55" s="4" t="s">
        <v>42</v>
      </c>
      <c r="E55" s="96" t="s">
        <v>106</v>
      </c>
      <c r="F55" s="97"/>
      <c r="G55" s="27">
        <f>((H4/30*33)*21.36%)/28</f>
        <v>10.730203628571427</v>
      </c>
      <c r="H55" s="5">
        <f t="shared" si="21"/>
        <v>472.13</v>
      </c>
      <c r="I55" s="28">
        <f t="shared" si="3"/>
        <v>13219.64</v>
      </c>
      <c r="J55" s="27">
        <f>((K4/30*33)*21.36%)/28</f>
        <v>20.718437142857141</v>
      </c>
      <c r="K55" s="5">
        <f t="shared" si="24"/>
        <v>227.90280857142855</v>
      </c>
      <c r="L55" s="28">
        <f t="shared" si="4"/>
        <v>6381.2786399999995</v>
      </c>
      <c r="M55" s="27">
        <f>((N4/30*33)*21.36%)/28</f>
        <v>15.328119085714286</v>
      </c>
      <c r="N55" s="5">
        <f t="shared" si="25"/>
        <v>505.82792982857143</v>
      </c>
      <c r="O55" s="28">
        <f t="shared" si="1"/>
        <v>14163.1820352</v>
      </c>
      <c r="P55" s="27">
        <f>((Q4/30*33)*21.36%)/28</f>
        <v>37.257942857142851</v>
      </c>
      <c r="Q55" s="5">
        <f t="shared" si="26"/>
        <v>894.19062857142842</v>
      </c>
      <c r="R55" s="28">
        <f t="shared" si="5"/>
        <v>25037.337599999995</v>
      </c>
      <c r="S55" s="27">
        <f>((T4/30*33)*21.36%)/28</f>
        <v>18.628971428571425</v>
      </c>
      <c r="T55" s="5">
        <f t="shared" si="27"/>
        <v>2105.073771428571</v>
      </c>
      <c r="U55" s="28">
        <f t="shared" si="6"/>
        <v>58942.065599999987</v>
      </c>
      <c r="V55" s="27">
        <f t="shared" si="22"/>
        <v>4205.1251383999988</v>
      </c>
      <c r="W55" s="28">
        <f t="shared" si="7"/>
        <v>117743.50387519997</v>
      </c>
    </row>
    <row r="56" spans="1:28" x14ac:dyDescent="0.25">
      <c r="A56" s="322"/>
      <c r="B56" s="312"/>
      <c r="C56" s="13" t="s">
        <v>110</v>
      </c>
      <c r="D56" s="4" t="s">
        <v>105</v>
      </c>
      <c r="E56" s="69" t="s">
        <v>81</v>
      </c>
      <c r="F56" s="70"/>
      <c r="G56" s="27">
        <f>(H4+H4/3)/12/28</f>
        <v>5.0742460317460312</v>
      </c>
      <c r="H56" s="5">
        <f t="shared" si="21"/>
        <v>223.27</v>
      </c>
      <c r="I56" s="28">
        <f t="shared" si="3"/>
        <v>6251.56</v>
      </c>
      <c r="J56" s="27">
        <f>(K4+K4/3)/12/28</f>
        <v>9.7976190476190474</v>
      </c>
      <c r="K56" s="5">
        <f t="shared" si="24"/>
        <v>107.77380952380952</v>
      </c>
      <c r="L56" s="28">
        <f t="shared" si="4"/>
        <v>3017.6666666666665</v>
      </c>
      <c r="M56" s="27">
        <f>(N4+N4/3)/12/28</f>
        <v>7.2485714285714291</v>
      </c>
      <c r="N56" s="5">
        <f t="shared" si="25"/>
        <v>239.20285714285717</v>
      </c>
      <c r="O56" s="28">
        <f t="shared" si="1"/>
        <v>6697.68</v>
      </c>
      <c r="P56" s="27">
        <f>(Q4+Q4/3)/12/28</f>
        <v>17.619047619047617</v>
      </c>
      <c r="Q56" s="5">
        <f t="shared" si="26"/>
        <v>422.85714285714278</v>
      </c>
      <c r="R56" s="28">
        <f t="shared" si="5"/>
        <v>11839.999999999998</v>
      </c>
      <c r="S56" s="27">
        <f>(T4+T4/3)/12/28</f>
        <v>8.8095238095238084</v>
      </c>
      <c r="T56" s="5">
        <f t="shared" si="27"/>
        <v>995.47619047619037</v>
      </c>
      <c r="U56" s="28">
        <f t="shared" si="6"/>
        <v>27873.333333333328</v>
      </c>
      <c r="V56" s="27">
        <f t="shared" si="22"/>
        <v>1988.58</v>
      </c>
      <c r="W56" s="28">
        <f t="shared" si="7"/>
        <v>55680.24</v>
      </c>
    </row>
    <row r="57" spans="1:28" x14ac:dyDescent="0.25">
      <c r="A57" s="322"/>
      <c r="B57" s="312"/>
      <c r="C57" s="13" t="s">
        <v>144</v>
      </c>
      <c r="D57" s="4" t="s">
        <v>46</v>
      </c>
      <c r="E57" s="69" t="s">
        <v>80</v>
      </c>
      <c r="F57" s="70"/>
      <c r="G57" s="27">
        <f>H4/12/28</f>
        <v>3.805684523809524</v>
      </c>
      <c r="H57" s="5">
        <f t="shared" si="21"/>
        <v>167.45</v>
      </c>
      <c r="I57" s="28">
        <f t="shared" si="3"/>
        <v>4688.5999999999995</v>
      </c>
      <c r="J57" s="27">
        <f>K4/12/28</f>
        <v>7.3482142857142856</v>
      </c>
      <c r="K57" s="5">
        <f t="shared" si="24"/>
        <v>80.830357142857139</v>
      </c>
      <c r="L57" s="28">
        <f t="shared" si="4"/>
        <v>2263.25</v>
      </c>
      <c r="M57" s="27">
        <f>N4/12/28</f>
        <v>5.4364285714285714</v>
      </c>
      <c r="N57" s="5">
        <f t="shared" si="25"/>
        <v>179.40214285714285</v>
      </c>
      <c r="O57" s="28">
        <f t="shared" si="1"/>
        <v>5023.26</v>
      </c>
      <c r="P57" s="27">
        <f>Q4/12/28</f>
        <v>13.214285714285714</v>
      </c>
      <c r="Q57" s="5">
        <f t="shared" si="26"/>
        <v>317.14285714285711</v>
      </c>
      <c r="R57" s="28">
        <f t="shared" si="5"/>
        <v>8880</v>
      </c>
      <c r="S57" s="27">
        <f>T4/12/28</f>
        <v>6.6071428571428568</v>
      </c>
      <c r="T57" s="5">
        <f t="shared" si="27"/>
        <v>746.60714285714278</v>
      </c>
      <c r="U57" s="28">
        <f t="shared" si="6"/>
        <v>20904.999999999996</v>
      </c>
      <c r="V57" s="27">
        <f t="shared" si="22"/>
        <v>1491.4324999999999</v>
      </c>
      <c r="W57" s="28">
        <f t="shared" si="7"/>
        <v>41760.11</v>
      </c>
    </row>
    <row r="58" spans="1:28" x14ac:dyDescent="0.25">
      <c r="A58" s="322"/>
      <c r="B58" s="312"/>
      <c r="C58" s="13" t="s">
        <v>145</v>
      </c>
      <c r="D58" s="4" t="s">
        <v>9</v>
      </c>
      <c r="E58" s="69" t="s">
        <v>156</v>
      </c>
      <c r="F58" s="70"/>
      <c r="G58" s="27">
        <f>(G55+G57)*8%</f>
        <v>1.1628710521904762</v>
      </c>
      <c r="H58" s="5">
        <f t="shared" si="21"/>
        <v>51.17</v>
      </c>
      <c r="I58" s="28">
        <f t="shared" si="3"/>
        <v>1432.76</v>
      </c>
      <c r="J58" s="27">
        <f>(J55+J57)*8%</f>
        <v>2.2453321142857141</v>
      </c>
      <c r="K58" s="5">
        <f t="shared" si="24"/>
        <v>24.698653257142855</v>
      </c>
      <c r="L58" s="28">
        <f t="shared" si="4"/>
        <v>691.56229119999989</v>
      </c>
      <c r="M58" s="27">
        <f>(M55+M57)*8%</f>
        <v>1.6611638125714285</v>
      </c>
      <c r="N58" s="5">
        <f t="shared" si="25"/>
        <v>54.818405814857144</v>
      </c>
      <c r="O58" s="28">
        <f t="shared" si="1"/>
        <v>1534.915362816</v>
      </c>
      <c r="P58" s="27">
        <f>(P55+P57)*8%</f>
        <v>4.0377782857142854</v>
      </c>
      <c r="Q58" s="5">
        <f t="shared" si="26"/>
        <v>96.90667885714285</v>
      </c>
      <c r="R58" s="28">
        <f t="shared" si="5"/>
        <v>2713.3870079999997</v>
      </c>
      <c r="S58" s="27">
        <f>(S55+S57)*8%</f>
        <v>2.0188891428571427</v>
      </c>
      <c r="T58" s="5">
        <f t="shared" si="27"/>
        <v>228.13447314285713</v>
      </c>
      <c r="U58" s="28">
        <f t="shared" si="6"/>
        <v>6387.7652479999997</v>
      </c>
      <c r="V58" s="27">
        <f t="shared" si="22"/>
        <v>455.72821107200002</v>
      </c>
      <c r="W58" s="28">
        <f t="shared" si="7"/>
        <v>12760.389910016002</v>
      </c>
    </row>
    <row r="59" spans="1:28" x14ac:dyDescent="0.25">
      <c r="A59" s="322"/>
      <c r="B59" s="312"/>
      <c r="C59" s="13" t="s">
        <v>146</v>
      </c>
      <c r="D59" s="4" t="s">
        <v>12</v>
      </c>
      <c r="E59" s="69" t="s">
        <v>196</v>
      </c>
      <c r="F59" s="70"/>
      <c r="G59" s="27">
        <f>(G55+G57)*20%</f>
        <v>2.9071776304761907</v>
      </c>
      <c r="H59" s="5">
        <f t="shared" si="21"/>
        <v>127.92</v>
      </c>
      <c r="I59" s="28">
        <f t="shared" ref="I59:W59" si="28">(I55+I57)*20%</f>
        <v>3581.6479999999997</v>
      </c>
      <c r="J59" s="27">
        <f t="shared" si="28"/>
        <v>5.6133302857142855</v>
      </c>
      <c r="K59" s="5">
        <f t="shared" si="28"/>
        <v>61.746633142857142</v>
      </c>
      <c r="L59" s="28">
        <f t="shared" si="28"/>
        <v>1728.9057280000002</v>
      </c>
      <c r="M59" s="27">
        <f t="shared" si="28"/>
        <v>4.1529095314285716</v>
      </c>
      <c r="N59" s="5">
        <f t="shared" si="28"/>
        <v>137.04601453714287</v>
      </c>
      <c r="O59" s="28">
        <f t="shared" si="28"/>
        <v>3837.2884070400005</v>
      </c>
      <c r="P59" s="27">
        <f t="shared" si="28"/>
        <v>10.094445714285714</v>
      </c>
      <c r="Q59" s="5">
        <f t="shared" si="28"/>
        <v>242.26669714285708</v>
      </c>
      <c r="R59" s="28">
        <f t="shared" si="28"/>
        <v>6783.4675200000001</v>
      </c>
      <c r="S59" s="27">
        <f t="shared" si="28"/>
        <v>5.0472228571428568</v>
      </c>
      <c r="T59" s="5">
        <f t="shared" si="28"/>
        <v>570.33618285714272</v>
      </c>
      <c r="U59" s="28">
        <f t="shared" si="28"/>
        <v>15969.413119999997</v>
      </c>
      <c r="V59" s="27">
        <f t="shared" si="22"/>
        <v>1139.3155276799998</v>
      </c>
      <c r="W59" s="28">
        <f t="shared" si="28"/>
        <v>31900.722775039998</v>
      </c>
    </row>
    <row r="60" spans="1:28" x14ac:dyDescent="0.25">
      <c r="A60" s="322"/>
      <c r="B60" s="312"/>
      <c r="C60" s="13" t="s">
        <v>147</v>
      </c>
      <c r="D60" s="4" t="s">
        <v>100</v>
      </c>
      <c r="E60" s="69" t="s">
        <v>158</v>
      </c>
      <c r="F60" s="70"/>
      <c r="G60" s="27">
        <v>0</v>
      </c>
      <c r="H60" s="5">
        <f t="shared" si="21"/>
        <v>0</v>
      </c>
      <c r="I60" s="28">
        <f t="shared" si="3"/>
        <v>0</v>
      </c>
      <c r="J60" s="27">
        <v>0</v>
      </c>
      <c r="K60" s="5">
        <f t="shared" ref="K60:K69" si="29">J60*$J$4</f>
        <v>0</v>
      </c>
      <c r="L60" s="28">
        <f t="shared" si="4"/>
        <v>0</v>
      </c>
      <c r="M60" s="27">
        <v>0</v>
      </c>
      <c r="N60" s="5">
        <f t="shared" ref="N60:N69" si="30">M60*$M$4</f>
        <v>0</v>
      </c>
      <c r="O60" s="28">
        <f t="shared" si="1"/>
        <v>0</v>
      </c>
      <c r="P60" s="27">
        <v>0</v>
      </c>
      <c r="Q60" s="5">
        <f t="shared" ref="Q60:Q69" si="31">P60*$P$4</f>
        <v>0</v>
      </c>
      <c r="R60" s="28">
        <f t="shared" si="5"/>
        <v>0</v>
      </c>
      <c r="S60" s="27">
        <v>0</v>
      </c>
      <c r="T60" s="5">
        <f t="shared" ref="T60:T69" si="32">S60*$S$4</f>
        <v>0</v>
      </c>
      <c r="U60" s="28">
        <f t="shared" si="6"/>
        <v>0</v>
      </c>
      <c r="V60" s="27">
        <f t="shared" si="22"/>
        <v>0</v>
      </c>
      <c r="W60" s="28">
        <f t="shared" si="7"/>
        <v>0</v>
      </c>
    </row>
    <row r="61" spans="1:28" x14ac:dyDescent="0.25">
      <c r="A61" s="322"/>
      <c r="B61" s="312"/>
      <c r="C61" s="13" t="s">
        <v>148</v>
      </c>
      <c r="D61" s="4" t="s">
        <v>114</v>
      </c>
      <c r="E61" s="69" t="s">
        <v>159</v>
      </c>
      <c r="F61" s="70"/>
      <c r="G61" s="27">
        <v>0</v>
      </c>
      <c r="H61" s="5">
        <f t="shared" si="21"/>
        <v>0</v>
      </c>
      <c r="I61" s="28">
        <f t="shared" si="3"/>
        <v>0</v>
      </c>
      <c r="J61" s="27">
        <v>0</v>
      </c>
      <c r="K61" s="5">
        <f t="shared" si="29"/>
        <v>0</v>
      </c>
      <c r="L61" s="28">
        <f t="shared" si="4"/>
        <v>0</v>
      </c>
      <c r="M61" s="27">
        <v>0</v>
      </c>
      <c r="N61" s="5">
        <f t="shared" si="30"/>
        <v>0</v>
      </c>
      <c r="O61" s="28">
        <f t="shared" si="1"/>
        <v>0</v>
      </c>
      <c r="P61" s="27">
        <v>0</v>
      </c>
      <c r="Q61" s="5">
        <f t="shared" si="31"/>
        <v>0</v>
      </c>
      <c r="R61" s="28">
        <f t="shared" si="5"/>
        <v>0</v>
      </c>
      <c r="S61" s="27">
        <v>0</v>
      </c>
      <c r="T61" s="5">
        <f t="shared" si="32"/>
        <v>0</v>
      </c>
      <c r="U61" s="28">
        <f t="shared" si="6"/>
        <v>0</v>
      </c>
      <c r="V61" s="27">
        <f t="shared" si="22"/>
        <v>0</v>
      </c>
      <c r="W61" s="28">
        <f t="shared" si="7"/>
        <v>0</v>
      </c>
    </row>
    <row r="62" spans="1:28" x14ac:dyDescent="0.25">
      <c r="A62" s="322"/>
      <c r="B62" s="312"/>
      <c r="C62" s="13" t="s">
        <v>149</v>
      </c>
      <c r="D62" s="4" t="s">
        <v>115</v>
      </c>
      <c r="E62" s="69" t="s">
        <v>160</v>
      </c>
      <c r="F62" s="70"/>
      <c r="G62" s="27">
        <v>0</v>
      </c>
      <c r="H62" s="5">
        <f t="shared" si="21"/>
        <v>0</v>
      </c>
      <c r="I62" s="28">
        <f t="shared" si="3"/>
        <v>0</v>
      </c>
      <c r="J62" s="27">
        <v>0</v>
      </c>
      <c r="K62" s="5">
        <f t="shared" si="29"/>
        <v>0</v>
      </c>
      <c r="L62" s="28">
        <f t="shared" si="4"/>
        <v>0</v>
      </c>
      <c r="M62" s="27">
        <v>0</v>
      </c>
      <c r="N62" s="5">
        <f t="shared" si="30"/>
        <v>0</v>
      </c>
      <c r="O62" s="28">
        <f t="shared" si="1"/>
        <v>0</v>
      </c>
      <c r="P62" s="27">
        <v>0</v>
      </c>
      <c r="Q62" s="5">
        <f t="shared" si="31"/>
        <v>0</v>
      </c>
      <c r="R62" s="28">
        <f t="shared" si="5"/>
        <v>0</v>
      </c>
      <c r="S62" s="27">
        <v>0</v>
      </c>
      <c r="T62" s="5">
        <f t="shared" si="32"/>
        <v>0</v>
      </c>
      <c r="U62" s="28">
        <f t="shared" si="6"/>
        <v>0</v>
      </c>
      <c r="V62" s="27">
        <f t="shared" si="22"/>
        <v>0</v>
      </c>
      <c r="W62" s="28">
        <f t="shared" si="7"/>
        <v>0</v>
      </c>
    </row>
    <row r="63" spans="1:28" x14ac:dyDescent="0.25">
      <c r="A63" s="322"/>
      <c r="B63" s="312"/>
      <c r="C63" s="13" t="s">
        <v>150</v>
      </c>
      <c r="D63" s="4" t="s">
        <v>116</v>
      </c>
      <c r="E63" s="69" t="s">
        <v>161</v>
      </c>
      <c r="F63" s="70"/>
      <c r="G63" s="27">
        <v>0</v>
      </c>
      <c r="H63" s="5">
        <f t="shared" si="21"/>
        <v>0</v>
      </c>
      <c r="I63" s="28">
        <f t="shared" si="3"/>
        <v>0</v>
      </c>
      <c r="J63" s="27">
        <v>0</v>
      </c>
      <c r="K63" s="5">
        <f t="shared" si="29"/>
        <v>0</v>
      </c>
      <c r="L63" s="28">
        <f t="shared" si="4"/>
        <v>0</v>
      </c>
      <c r="M63" s="27">
        <v>0</v>
      </c>
      <c r="N63" s="5">
        <f t="shared" si="30"/>
        <v>0</v>
      </c>
      <c r="O63" s="28">
        <f t="shared" si="1"/>
        <v>0</v>
      </c>
      <c r="P63" s="27">
        <v>0</v>
      </c>
      <c r="Q63" s="5">
        <f t="shared" si="31"/>
        <v>0</v>
      </c>
      <c r="R63" s="28">
        <f t="shared" si="5"/>
        <v>0</v>
      </c>
      <c r="S63" s="27">
        <v>0</v>
      </c>
      <c r="T63" s="5">
        <f t="shared" si="32"/>
        <v>0</v>
      </c>
      <c r="U63" s="28">
        <f t="shared" si="6"/>
        <v>0</v>
      </c>
      <c r="V63" s="27">
        <f t="shared" si="22"/>
        <v>0</v>
      </c>
      <c r="W63" s="28">
        <f t="shared" si="7"/>
        <v>0</v>
      </c>
    </row>
    <row r="64" spans="1:28" x14ac:dyDescent="0.25">
      <c r="A64" s="322"/>
      <c r="B64" s="312"/>
      <c r="C64" s="13" t="s">
        <v>151</v>
      </c>
      <c r="D64" s="4" t="s">
        <v>14</v>
      </c>
      <c r="E64" s="69" t="s">
        <v>157</v>
      </c>
      <c r="F64" s="70"/>
      <c r="G64" s="27">
        <v>0</v>
      </c>
      <c r="H64" s="5">
        <f t="shared" si="21"/>
        <v>0</v>
      </c>
      <c r="I64" s="28">
        <f t="shared" si="3"/>
        <v>0</v>
      </c>
      <c r="J64" s="27">
        <v>0</v>
      </c>
      <c r="K64" s="5">
        <f t="shared" si="29"/>
        <v>0</v>
      </c>
      <c r="L64" s="28">
        <f t="shared" si="4"/>
        <v>0</v>
      </c>
      <c r="M64" s="27">
        <v>0</v>
      </c>
      <c r="N64" s="5">
        <f t="shared" si="30"/>
        <v>0</v>
      </c>
      <c r="O64" s="28">
        <f t="shared" si="1"/>
        <v>0</v>
      </c>
      <c r="P64" s="27">
        <v>0</v>
      </c>
      <c r="Q64" s="5">
        <f t="shared" si="31"/>
        <v>0</v>
      </c>
      <c r="R64" s="28">
        <f t="shared" si="5"/>
        <v>0</v>
      </c>
      <c r="S64" s="27">
        <v>0</v>
      </c>
      <c r="T64" s="5">
        <f t="shared" si="32"/>
        <v>0</v>
      </c>
      <c r="U64" s="28">
        <f t="shared" si="6"/>
        <v>0</v>
      </c>
      <c r="V64" s="27">
        <f t="shared" si="22"/>
        <v>0</v>
      </c>
      <c r="W64" s="28">
        <f t="shared" si="7"/>
        <v>0</v>
      </c>
    </row>
    <row r="65" spans="1:39" s="108" customFormat="1" x14ac:dyDescent="0.25">
      <c r="A65" s="322"/>
      <c r="B65" s="312"/>
      <c r="C65" s="13" t="s">
        <v>152</v>
      </c>
      <c r="D65" s="4" t="s">
        <v>16</v>
      </c>
      <c r="E65" s="69" t="s">
        <v>262</v>
      </c>
      <c r="F65" s="70"/>
      <c r="G65" s="27">
        <f>(G55+G57)*3.1209%</f>
        <v>0.45365053334765709</v>
      </c>
      <c r="H65" s="5">
        <f t="shared" si="21"/>
        <v>19.96</v>
      </c>
      <c r="I65" s="28">
        <f t="shared" si="3"/>
        <v>558.88</v>
      </c>
      <c r="J65" s="27">
        <f>(J55+J57)*3.1209%</f>
        <v>0.87593212443428559</v>
      </c>
      <c r="K65" s="5">
        <f t="shared" si="29"/>
        <v>9.6352533687771409</v>
      </c>
      <c r="L65" s="28">
        <f t="shared" si="4"/>
        <v>269.78709432575994</v>
      </c>
      <c r="M65" s="27">
        <f>(M55+M57)*3.1209%</f>
        <v>0.64804076783177134</v>
      </c>
      <c r="N65" s="5">
        <f t="shared" si="30"/>
        <v>21.385345338448452</v>
      </c>
      <c r="O65" s="28">
        <f t="shared" si="1"/>
        <v>598.7896694765567</v>
      </c>
      <c r="P65" s="27">
        <f>(P55+P57)*3.1209%</f>
        <v>1.575187781485714</v>
      </c>
      <c r="Q65" s="5">
        <f t="shared" si="31"/>
        <v>37.804506755657137</v>
      </c>
      <c r="R65" s="28">
        <f t="shared" si="5"/>
        <v>1058.5261891583998</v>
      </c>
      <c r="S65" s="27">
        <f>(S55+S57)*3.1209%</f>
        <v>0.78759389074285702</v>
      </c>
      <c r="T65" s="5">
        <f t="shared" si="32"/>
        <v>88.998109653942848</v>
      </c>
      <c r="U65" s="28">
        <f t="shared" si="6"/>
        <v>2491.9470703103998</v>
      </c>
      <c r="V65" s="27">
        <f t="shared" si="22"/>
        <v>177.7832151168256</v>
      </c>
      <c r="W65" s="28">
        <f t="shared" si="7"/>
        <v>4977.9300232711166</v>
      </c>
      <c r="AB65" s="52"/>
    </row>
    <row r="66" spans="1:39" x14ac:dyDescent="0.25">
      <c r="A66" s="322"/>
      <c r="B66" s="312"/>
      <c r="C66" s="13" t="s">
        <v>153</v>
      </c>
      <c r="D66" s="4" t="s">
        <v>43</v>
      </c>
      <c r="E66" s="98" t="s">
        <v>174</v>
      </c>
      <c r="F66" s="99"/>
      <c r="G66" s="27">
        <f>((G7+G23+G33+G46+G58)*40%)*85.43%</f>
        <v>42.483459239440847</v>
      </c>
      <c r="H66" s="5">
        <f t="shared" si="21"/>
        <v>1869.27</v>
      </c>
      <c r="I66" s="28">
        <f t="shared" si="3"/>
        <v>52339.56</v>
      </c>
      <c r="J66" s="27">
        <f>((J7+J23+J33+J46+J58)*40%)*85.43%</f>
        <v>82.029280182511627</v>
      </c>
      <c r="K66" s="5">
        <f t="shared" si="29"/>
        <v>902.32208200762784</v>
      </c>
      <c r="L66" s="28">
        <f t="shared" si="4"/>
        <v>25265.01829621358</v>
      </c>
      <c r="M66" s="27">
        <f>((M7+M23+M33+M46+M58)*40%)*85.43%</f>
        <v>60.891465949079787</v>
      </c>
      <c r="N66" s="5">
        <f t="shared" si="30"/>
        <v>2009.4183763196329</v>
      </c>
      <c r="O66" s="28">
        <f t="shared" si="1"/>
        <v>56263.714536949723</v>
      </c>
      <c r="P66" s="27">
        <f>((P7+P23+P33+P46+P58)*40%)*85.43%</f>
        <v>147.51316484825909</v>
      </c>
      <c r="Q66" s="5">
        <f t="shared" si="31"/>
        <v>3540.3159563582185</v>
      </c>
      <c r="R66" s="28">
        <f t="shared" si="5"/>
        <v>99128.846778030114</v>
      </c>
      <c r="S66" s="27">
        <f>((S7+S23+S33+S46+S58)*40%)*85.43%</f>
        <v>73.756582424129547</v>
      </c>
      <c r="T66" s="5">
        <f t="shared" si="32"/>
        <v>8334.4938139266396</v>
      </c>
      <c r="U66" s="28">
        <f t="shared" si="6"/>
        <v>233365.82678994592</v>
      </c>
      <c r="V66" s="27">
        <f t="shared" si="22"/>
        <v>16655.820228612116</v>
      </c>
      <c r="W66" s="28">
        <f t="shared" si="7"/>
        <v>466362.96640113927</v>
      </c>
      <c r="AB66" s="108"/>
    </row>
    <row r="67" spans="1:39" x14ac:dyDescent="0.25">
      <c r="A67" s="323"/>
      <c r="B67" s="75"/>
      <c r="C67" s="6" t="s">
        <v>154</v>
      </c>
      <c r="D67" s="7" t="s">
        <v>7</v>
      </c>
      <c r="E67" s="71" t="s">
        <v>155</v>
      </c>
      <c r="F67" s="72"/>
      <c r="G67" s="29">
        <f>SUM(G55:G66)</f>
        <v>66.617292639582161</v>
      </c>
      <c r="H67" s="8">
        <f t="shared" si="21"/>
        <v>2931.16</v>
      </c>
      <c r="I67" s="30">
        <f t="shared" si="3"/>
        <v>82072.479999999996</v>
      </c>
      <c r="J67" s="29">
        <f>SUM(J55:J66)</f>
        <v>128.62814518313638</v>
      </c>
      <c r="K67" s="8">
        <f t="shared" si="29"/>
        <v>1414.9095970145002</v>
      </c>
      <c r="L67" s="30">
        <f t="shared" si="4"/>
        <v>39617.468716406001</v>
      </c>
      <c r="M67" s="29">
        <f>SUM(M55:M66)</f>
        <v>95.366699146625848</v>
      </c>
      <c r="N67" s="8">
        <f t="shared" si="30"/>
        <v>3147.1010718386528</v>
      </c>
      <c r="O67" s="30">
        <f t="shared" si="1"/>
        <v>88118.830011482278</v>
      </c>
      <c r="P67" s="29">
        <f>SUM(P55:P66)</f>
        <v>231.31185282022096</v>
      </c>
      <c r="Q67" s="8">
        <f t="shared" si="31"/>
        <v>5551.4844676853027</v>
      </c>
      <c r="R67" s="30">
        <f t="shared" si="5"/>
        <v>155441.56509518847</v>
      </c>
      <c r="S67" s="29">
        <f>SUM(S55:S66)</f>
        <v>115.65592641011048</v>
      </c>
      <c r="T67" s="8">
        <f t="shared" si="32"/>
        <v>13069.119684342484</v>
      </c>
      <c r="U67" s="30">
        <f t="shared" si="6"/>
        <v>365935.35116158955</v>
      </c>
      <c r="V67" s="29">
        <f t="shared" si="22"/>
        <v>26113.774820880939</v>
      </c>
      <c r="W67" s="30">
        <f t="shared" si="7"/>
        <v>731185.6949846663</v>
      </c>
      <c r="AB67" s="108"/>
    </row>
    <row r="68" spans="1:39" s="108" customFormat="1" ht="21" customHeight="1" x14ac:dyDescent="0.25">
      <c r="A68" s="314" t="s">
        <v>82</v>
      </c>
      <c r="B68" s="316" t="s">
        <v>53</v>
      </c>
      <c r="C68" s="13" t="s">
        <v>162</v>
      </c>
      <c r="D68" s="4" t="s">
        <v>53</v>
      </c>
      <c r="E68" s="203">
        <v>23.33</v>
      </c>
      <c r="F68" s="70"/>
      <c r="G68" s="27">
        <f>E68*6/28</f>
        <v>4.9992857142857137</v>
      </c>
      <c r="H68" s="5">
        <f>ROUND(G68*$G$4,2)</f>
        <v>219.97</v>
      </c>
      <c r="I68" s="28">
        <f t="shared" si="3"/>
        <v>6159.16</v>
      </c>
      <c r="J68" s="27">
        <f>E68*6/28</f>
        <v>4.9992857142857137</v>
      </c>
      <c r="K68" s="5">
        <f t="shared" si="29"/>
        <v>54.992142857142852</v>
      </c>
      <c r="L68" s="28">
        <f t="shared" si="4"/>
        <v>1539.7799999999997</v>
      </c>
      <c r="M68" s="27">
        <f>E68*6/28</f>
        <v>4.9992857142857137</v>
      </c>
      <c r="N68" s="5">
        <f>M68*$M$4</f>
        <v>164.97642857142856</v>
      </c>
      <c r="O68" s="28">
        <f>N68*28</f>
        <v>4619.3399999999992</v>
      </c>
      <c r="P68" s="27">
        <f>E68*10/28</f>
        <v>8.3321428571428573</v>
      </c>
      <c r="Q68" s="5">
        <f t="shared" si="31"/>
        <v>199.97142857142859</v>
      </c>
      <c r="R68" s="28">
        <f t="shared" si="5"/>
        <v>5599.2000000000007</v>
      </c>
      <c r="S68" s="27">
        <f>E68*10/28</f>
        <v>8.3321428571428573</v>
      </c>
      <c r="T68" s="5">
        <f t="shared" si="32"/>
        <v>941.53214285714284</v>
      </c>
      <c r="U68" s="28">
        <f t="shared" si="6"/>
        <v>26362.9</v>
      </c>
      <c r="V68" s="27">
        <f t="shared" si="22"/>
        <v>1581.4421428571429</v>
      </c>
      <c r="W68" s="28">
        <f t="shared" si="7"/>
        <v>44280.380000000005</v>
      </c>
      <c r="AB68" s="52"/>
    </row>
    <row r="69" spans="1:39" s="108" customFormat="1" ht="36" customHeight="1" x14ac:dyDescent="0.25">
      <c r="A69" s="315"/>
      <c r="B69" s="317"/>
      <c r="C69" s="112" t="s">
        <v>163</v>
      </c>
      <c r="D69" s="113" t="s">
        <v>7</v>
      </c>
      <c r="E69" s="114" t="s">
        <v>162</v>
      </c>
      <c r="F69" s="115"/>
      <c r="G69" s="116">
        <f>SUM(G68)</f>
        <v>4.9992857142857137</v>
      </c>
      <c r="H69" s="5">
        <f t="shared" si="21"/>
        <v>219.97</v>
      </c>
      <c r="I69" s="117">
        <f t="shared" si="3"/>
        <v>6159.16</v>
      </c>
      <c r="J69" s="116">
        <f>SUM(J68)</f>
        <v>4.9992857142857137</v>
      </c>
      <c r="K69" s="118">
        <f t="shared" si="29"/>
        <v>54.992142857142852</v>
      </c>
      <c r="L69" s="117">
        <f t="shared" si="4"/>
        <v>1539.7799999999997</v>
      </c>
      <c r="M69" s="116">
        <f>SUM(M68)</f>
        <v>4.9992857142857137</v>
      </c>
      <c r="N69" s="118">
        <f t="shared" si="30"/>
        <v>164.97642857142856</v>
      </c>
      <c r="O69" s="117">
        <f t="shared" si="1"/>
        <v>4619.3399999999992</v>
      </c>
      <c r="P69" s="116">
        <f>SUM(P68)</f>
        <v>8.3321428571428573</v>
      </c>
      <c r="Q69" s="118">
        <f t="shared" si="31"/>
        <v>199.97142857142859</v>
      </c>
      <c r="R69" s="117">
        <f t="shared" si="5"/>
        <v>5599.2000000000007</v>
      </c>
      <c r="S69" s="116">
        <f>SUM(S68)</f>
        <v>8.3321428571428573</v>
      </c>
      <c r="T69" s="118">
        <f t="shared" si="32"/>
        <v>941.53214285714284</v>
      </c>
      <c r="U69" s="117">
        <f t="shared" si="6"/>
        <v>26362.9</v>
      </c>
      <c r="V69" s="116">
        <f t="shared" si="22"/>
        <v>1581.4421428571429</v>
      </c>
      <c r="W69" s="117">
        <f t="shared" si="7"/>
        <v>44280.380000000005</v>
      </c>
      <c r="AB69" s="52"/>
    </row>
    <row r="70" spans="1:39" x14ac:dyDescent="0.25">
      <c r="A70" s="318" t="s">
        <v>86</v>
      </c>
      <c r="B70" s="319"/>
      <c r="C70" s="319"/>
      <c r="D70" s="319"/>
      <c r="E70" s="319"/>
      <c r="F70" s="320"/>
      <c r="G70" s="29">
        <f>SUM(G69,G67,G54,G41,G31,G21,G15)</f>
        <v>2895.8076281575841</v>
      </c>
      <c r="H70" s="8">
        <f>ROUND(SUM(H69,H67,H54,H41,H31,H21,H15),2)</f>
        <v>127415.54</v>
      </c>
      <c r="I70" s="30">
        <f t="shared" ref="I70:V70" si="33">SUM(I69,I67,I54,I41,I31,I21,I15)</f>
        <v>3567635.12</v>
      </c>
      <c r="J70" s="29">
        <f>SUM(J69,J67,J54,J41,J31,J21,J15)</f>
        <v>4765.6133013867802</v>
      </c>
      <c r="K70" s="8">
        <f t="shared" si="33"/>
        <v>52421.746315254582</v>
      </c>
      <c r="L70" s="30">
        <f t="shared" si="33"/>
        <v>1467808.8968271283</v>
      </c>
      <c r="M70" s="29">
        <f>SUM(M69,M67,M54,M41,M31,M21,M15)</f>
        <v>3769.4537491821593</v>
      </c>
      <c r="N70" s="8">
        <f t="shared" si="33"/>
        <v>124391.97372301127</v>
      </c>
      <c r="O70" s="30">
        <f t="shared" si="33"/>
        <v>3482975.2642443152</v>
      </c>
      <c r="P70" s="29">
        <f>SUM(P69,P67,P54,P41,P31,P21,P15)</f>
        <v>7952.815501747169</v>
      </c>
      <c r="Q70" s="8">
        <f t="shared" si="33"/>
        <v>190867.57204193203</v>
      </c>
      <c r="R70" s="30">
        <f t="shared" si="33"/>
        <v>5344292.0171740968</v>
      </c>
      <c r="S70" s="29">
        <f>SUM(S69,S67,S54,S41,S31,S21,S15)</f>
        <v>4377.79642809918</v>
      </c>
      <c r="T70" s="8">
        <f t="shared" si="33"/>
        <v>494690.99637520732</v>
      </c>
      <c r="U70" s="30">
        <f t="shared" si="33"/>
        <v>13851347.898505803</v>
      </c>
      <c r="V70" s="29">
        <f t="shared" si="33"/>
        <v>989787.82845540519</v>
      </c>
      <c r="W70" s="30">
        <f t="shared" si="7"/>
        <v>27714059.196751345</v>
      </c>
    </row>
    <row r="71" spans="1:39" s="108" customFormat="1" ht="38.25" customHeight="1" x14ac:dyDescent="0.25">
      <c r="A71" s="321" t="s">
        <v>83</v>
      </c>
      <c r="B71" s="335" t="s">
        <v>70</v>
      </c>
      <c r="C71" s="142" t="s">
        <v>164</v>
      </c>
      <c r="D71" s="143" t="s">
        <v>56</v>
      </c>
      <c r="E71" s="144" t="s">
        <v>289</v>
      </c>
      <c r="F71" s="145"/>
      <c r="G71" s="146">
        <f>G70*G89</f>
        <v>5.4180560722828401</v>
      </c>
      <c r="H71" s="147">
        <f>(H70*H89)</f>
        <v>238.477295441</v>
      </c>
      <c r="I71" s="148">
        <f t="shared" ref="I71:U71" si="34">I70*I89</f>
        <v>6677.3714076182396</v>
      </c>
      <c r="J71" s="146">
        <f t="shared" si="34"/>
        <v>8.7043926949829533</v>
      </c>
      <c r="K71" s="147">
        <f t="shared" si="34"/>
        <v>95.77977269260164</v>
      </c>
      <c r="L71" s="148">
        <f t="shared" si="34"/>
        <v>2681.8703306152665</v>
      </c>
      <c r="M71" s="146">
        <f t="shared" si="34"/>
        <v>6.7397833035377008</v>
      </c>
      <c r="N71" s="147">
        <f t="shared" si="34"/>
        <v>222.4153368562186</v>
      </c>
      <c r="O71" s="148">
        <f t="shared" si="34"/>
        <v>6227.7513361083693</v>
      </c>
      <c r="P71" s="146">
        <f t="shared" si="34"/>
        <v>11.150642614999706</v>
      </c>
      <c r="Q71" s="147">
        <f t="shared" si="34"/>
        <v>267.60015335422952</v>
      </c>
      <c r="R71" s="148">
        <f t="shared" si="34"/>
        <v>7492.8086762378807</v>
      </c>
      <c r="S71" s="146">
        <f t="shared" si="34"/>
        <v>6.3390492278876129</v>
      </c>
      <c r="T71" s="147">
        <f t="shared" si="34"/>
        <v>716.12814194785153</v>
      </c>
      <c r="U71" s="148">
        <f t="shared" si="34"/>
        <v>20051.40513674758</v>
      </c>
      <c r="V71" s="149">
        <f>H71+K71+N71+Q71+T71</f>
        <v>1540.4007002919013</v>
      </c>
      <c r="W71" s="167">
        <f t="shared" ref="W71:W79" si="35">V71*28</f>
        <v>43131.21960817324</v>
      </c>
      <c r="X71" s="51"/>
      <c r="Y71" s="51"/>
      <c r="Z71" s="51"/>
      <c r="AA71" s="51"/>
      <c r="AB71" s="52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</row>
    <row r="72" spans="1:39" x14ac:dyDescent="0.25">
      <c r="A72" s="322"/>
      <c r="B72" s="336"/>
      <c r="C72" s="17" t="s">
        <v>165</v>
      </c>
      <c r="D72" s="18" t="s">
        <v>7</v>
      </c>
      <c r="E72" s="109" t="s">
        <v>164</v>
      </c>
      <c r="F72" s="110"/>
      <c r="G72" s="33">
        <f t="shared" ref="G72:U72" si="36">SUM(G71)</f>
        <v>5.4180560722828401</v>
      </c>
      <c r="H72" s="19">
        <f>ROUND(SUM(H71),2)</f>
        <v>238.48</v>
      </c>
      <c r="I72" s="34">
        <f t="shared" si="36"/>
        <v>6677.3714076182396</v>
      </c>
      <c r="J72" s="33">
        <f t="shared" si="36"/>
        <v>8.7043926949829533</v>
      </c>
      <c r="K72" s="19">
        <f t="shared" si="36"/>
        <v>95.77977269260164</v>
      </c>
      <c r="L72" s="34">
        <f t="shared" si="36"/>
        <v>2681.8703306152665</v>
      </c>
      <c r="M72" s="33">
        <f t="shared" si="36"/>
        <v>6.7397833035377008</v>
      </c>
      <c r="N72" s="19">
        <f t="shared" si="36"/>
        <v>222.4153368562186</v>
      </c>
      <c r="O72" s="34">
        <f t="shared" si="36"/>
        <v>6227.7513361083693</v>
      </c>
      <c r="P72" s="33">
        <f t="shared" si="36"/>
        <v>11.150642614999706</v>
      </c>
      <c r="Q72" s="19">
        <f t="shared" si="36"/>
        <v>267.60015335422952</v>
      </c>
      <c r="R72" s="34">
        <f t="shared" si="36"/>
        <v>7492.8086762378807</v>
      </c>
      <c r="S72" s="33">
        <f t="shared" si="36"/>
        <v>6.3390492278876129</v>
      </c>
      <c r="T72" s="19">
        <f t="shared" si="36"/>
        <v>716.12814194785153</v>
      </c>
      <c r="U72" s="34">
        <f t="shared" si="36"/>
        <v>20051.40513674758</v>
      </c>
      <c r="V72" s="33">
        <f>SUM(V71)</f>
        <v>1540.4007002919013</v>
      </c>
      <c r="W72" s="34">
        <f t="shared" si="35"/>
        <v>43131.21960817324</v>
      </c>
      <c r="X72" s="51"/>
      <c r="Y72" s="51"/>
      <c r="Z72" s="51"/>
      <c r="AA72" s="51"/>
      <c r="AB72" s="52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</row>
    <row r="73" spans="1:39" x14ac:dyDescent="0.25">
      <c r="A73" s="322"/>
      <c r="B73" s="336"/>
      <c r="C73" s="14" t="s">
        <v>166</v>
      </c>
      <c r="D73" s="15" t="s">
        <v>62</v>
      </c>
      <c r="E73" s="90" t="s">
        <v>197</v>
      </c>
      <c r="F73" s="91"/>
      <c r="G73" s="35">
        <f>((G70+G72+G79)/(1-0.1194))*5.7%</f>
        <v>188.13028589178333</v>
      </c>
      <c r="H73" s="16">
        <f>ROUND(((H70+H72+H79)/(1-0.1194))*5.7%,2)</f>
        <v>8277.74</v>
      </c>
      <c r="I73" s="36">
        <f t="shared" ref="I73:U73" si="37">((I70+I72+I79)/(1-0.1194))*5.7%</f>
        <v>231776.67098779546</v>
      </c>
      <c r="J73" s="35">
        <f t="shared" si="37"/>
        <v>309.56023160029184</v>
      </c>
      <c r="K73" s="16">
        <f t="shared" si="37"/>
        <v>3405.1645869758249</v>
      </c>
      <c r="L73" s="36">
        <f t="shared" si="37"/>
        <v>95344.610814591142</v>
      </c>
      <c r="M73" s="35">
        <f t="shared" si="37"/>
        <v>244.8676684171221</v>
      </c>
      <c r="N73" s="16">
        <f t="shared" si="37"/>
        <v>8080.6332190892454</v>
      </c>
      <c r="O73" s="36">
        <f t="shared" si="37"/>
        <v>226257.73803938529</v>
      </c>
      <c r="P73" s="35">
        <f t="shared" si="37"/>
        <v>516.18400441327344</v>
      </c>
      <c r="Q73" s="16">
        <f t="shared" si="37"/>
        <v>12388.421302188404</v>
      </c>
      <c r="R73" s="36">
        <f t="shared" si="37"/>
        <v>346875.80124869087</v>
      </c>
      <c r="S73" s="35">
        <f t="shared" si="37"/>
        <v>284.17621646460776</v>
      </c>
      <c r="T73" s="16">
        <f t="shared" si="37"/>
        <v>32111.900506489113</v>
      </c>
      <c r="U73" s="36">
        <f t="shared" si="37"/>
        <v>899133.20233029302</v>
      </c>
      <c r="V73" s="35">
        <f>((V70+V72+V79)/(1-0.1194)*5.7%)</f>
        <v>64263.857848097272</v>
      </c>
      <c r="W73" s="36">
        <f>V73*28</f>
        <v>1799388.0197467236</v>
      </c>
      <c r="X73" s="51"/>
      <c r="Y73" s="51"/>
      <c r="Z73" s="51"/>
      <c r="AA73" s="51"/>
      <c r="AB73" s="52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</row>
    <row r="74" spans="1:39" x14ac:dyDescent="0.25">
      <c r="A74" s="322"/>
      <c r="B74" s="336"/>
      <c r="C74" s="14" t="s">
        <v>167</v>
      </c>
      <c r="D74" s="15" t="s">
        <v>64</v>
      </c>
      <c r="E74" s="90" t="s">
        <v>187</v>
      </c>
      <c r="F74" s="91"/>
      <c r="G74" s="35">
        <f>((G70+G72+G79)/(1-0.1194))*5%</f>
        <v>165.02656657173975</v>
      </c>
      <c r="H74" s="16">
        <f>ROUND(((H70+H72+H79)/(1-0.1194))*5%,2)</f>
        <v>7261.17</v>
      </c>
      <c r="I74" s="36">
        <f t="shared" ref="I74:V74" si="38">((I70+I72+I79)/(1-0.1194))*5%</f>
        <v>203312.86928753986</v>
      </c>
      <c r="J74" s="35">
        <f t="shared" si="38"/>
        <v>271.54406280727352</v>
      </c>
      <c r="K74" s="16">
        <f t="shared" si="38"/>
        <v>2986.9864798033555</v>
      </c>
      <c r="L74" s="36">
        <f t="shared" si="38"/>
        <v>83635.623521571179</v>
      </c>
      <c r="M74" s="35">
        <f t="shared" si="38"/>
        <v>214.7962003658966</v>
      </c>
      <c r="N74" s="16">
        <f t="shared" si="38"/>
        <v>7088.2747535870576</v>
      </c>
      <c r="O74" s="36">
        <f t="shared" si="38"/>
        <v>198471.70003454853</v>
      </c>
      <c r="P74" s="35">
        <f t="shared" si="38"/>
        <v>452.79298632743286</v>
      </c>
      <c r="Q74" s="16">
        <f t="shared" si="38"/>
        <v>10867.036229989828</v>
      </c>
      <c r="R74" s="36">
        <f t="shared" si="38"/>
        <v>304277.01863920252</v>
      </c>
      <c r="S74" s="35">
        <f t="shared" si="38"/>
        <v>249.277382863691</v>
      </c>
      <c r="T74" s="16">
        <f t="shared" si="38"/>
        <v>28168.333777622029</v>
      </c>
      <c r="U74" s="36">
        <f t="shared" si="38"/>
        <v>788713.3353774501</v>
      </c>
      <c r="V74" s="35">
        <f t="shared" si="38"/>
        <v>56371.805129909888</v>
      </c>
      <c r="W74" s="36">
        <f>V74*28</f>
        <v>1578410.5436374769</v>
      </c>
      <c r="X74" s="51"/>
      <c r="Y74" s="51"/>
      <c r="Z74" s="51"/>
      <c r="AA74" s="51"/>
      <c r="AB74" s="52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</row>
    <row r="75" spans="1:39" x14ac:dyDescent="0.25">
      <c r="A75" s="322"/>
      <c r="B75" s="336"/>
      <c r="C75" s="14" t="s">
        <v>168</v>
      </c>
      <c r="D75" s="15" t="s">
        <v>63</v>
      </c>
      <c r="E75" s="92" t="s">
        <v>198</v>
      </c>
      <c r="F75" s="93"/>
      <c r="G75" s="35">
        <f>((G70+G72+G79)/(1-0.1194))*1.24%</f>
        <v>40.926588509791458</v>
      </c>
      <c r="H75" s="16">
        <f>ROUND(((H70+H72+H79)/(1-0.1194))*1.24%,2)</f>
        <v>1800.77</v>
      </c>
      <c r="I75" s="36">
        <f t="shared" ref="I75:V75" si="39">((I70+I72+I79)/(1-0.1194))*1.24%</f>
        <v>50421.591583309884</v>
      </c>
      <c r="J75" s="35">
        <f t="shared" si="39"/>
        <v>67.342927576203834</v>
      </c>
      <c r="K75" s="16">
        <f t="shared" si="39"/>
        <v>740.77264699123202</v>
      </c>
      <c r="L75" s="36">
        <f t="shared" si="39"/>
        <v>20741.634633349651</v>
      </c>
      <c r="M75" s="35">
        <f t="shared" si="39"/>
        <v>53.26945769074235</v>
      </c>
      <c r="N75" s="16">
        <f t="shared" si="39"/>
        <v>1757.8921388895901</v>
      </c>
      <c r="O75" s="36">
        <f t="shared" si="39"/>
        <v>49220.981608568029</v>
      </c>
      <c r="P75" s="35">
        <f t="shared" si="39"/>
        <v>112.29266060920334</v>
      </c>
      <c r="Q75" s="16">
        <f t="shared" si="39"/>
        <v>2695.0249850374771</v>
      </c>
      <c r="R75" s="36">
        <f t="shared" si="39"/>
        <v>75460.700622522214</v>
      </c>
      <c r="S75" s="35">
        <f t="shared" si="39"/>
        <v>61.820790950195367</v>
      </c>
      <c r="T75" s="16">
        <f t="shared" si="39"/>
        <v>6985.7467768502629</v>
      </c>
      <c r="U75" s="36">
        <f t="shared" si="39"/>
        <v>195600.90717360759</v>
      </c>
      <c r="V75" s="35">
        <f t="shared" si="39"/>
        <v>13980.207672217652</v>
      </c>
      <c r="W75" s="36">
        <f t="shared" si="35"/>
        <v>391445.81482209422</v>
      </c>
      <c r="X75" s="51"/>
      <c r="Y75" s="51"/>
      <c r="Z75" s="51"/>
      <c r="AA75" s="51"/>
      <c r="AB75" s="52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</row>
    <row r="76" spans="1:39" x14ac:dyDescent="0.25">
      <c r="A76" s="322"/>
      <c r="B76" s="336"/>
      <c r="C76" s="14" t="s">
        <v>169</v>
      </c>
      <c r="D76" s="15"/>
      <c r="E76" s="92"/>
      <c r="F76" s="93"/>
      <c r="G76" s="35">
        <v>0</v>
      </c>
      <c r="H76" s="16">
        <v>0</v>
      </c>
      <c r="I76" s="36">
        <v>0</v>
      </c>
      <c r="J76" s="35">
        <v>0</v>
      </c>
      <c r="K76" s="16">
        <v>0</v>
      </c>
      <c r="L76" s="36">
        <v>0</v>
      </c>
      <c r="M76" s="35">
        <v>0</v>
      </c>
      <c r="N76" s="16">
        <v>0</v>
      </c>
      <c r="O76" s="36">
        <v>0</v>
      </c>
      <c r="P76" s="35">
        <v>0</v>
      </c>
      <c r="Q76" s="16">
        <v>0</v>
      </c>
      <c r="R76" s="36">
        <v>0</v>
      </c>
      <c r="S76" s="35">
        <v>0</v>
      </c>
      <c r="T76" s="16">
        <v>0</v>
      </c>
      <c r="U76" s="36">
        <v>0</v>
      </c>
      <c r="V76" s="35">
        <v>0</v>
      </c>
      <c r="W76" s="36">
        <f>V76*28</f>
        <v>0</v>
      </c>
      <c r="X76" s="51"/>
      <c r="Y76" s="51"/>
      <c r="Z76" s="51"/>
      <c r="AA76" s="51"/>
      <c r="AB76" s="52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</row>
    <row r="77" spans="1:39" x14ac:dyDescent="0.25">
      <c r="A77" s="322"/>
      <c r="B77" s="336"/>
      <c r="C77" s="17" t="s">
        <v>170</v>
      </c>
      <c r="D77" s="18" t="s">
        <v>7</v>
      </c>
      <c r="E77" s="109" t="s">
        <v>190</v>
      </c>
      <c r="F77" s="110"/>
      <c r="G77" s="33">
        <f>SUM(G73:G76)</f>
        <v>394.08344097331451</v>
      </c>
      <c r="H77" s="19">
        <f>ROUND(SUM(H73:H76),2)</f>
        <v>17339.68</v>
      </c>
      <c r="I77" s="34">
        <f t="shared" ref="I77:V77" si="40">SUM(I73:I76)</f>
        <v>485511.13185864518</v>
      </c>
      <c r="J77" s="33">
        <f t="shared" si="40"/>
        <v>648.44722198376917</v>
      </c>
      <c r="K77" s="19">
        <f t="shared" si="40"/>
        <v>7132.9237137704131</v>
      </c>
      <c r="L77" s="34">
        <f t="shared" si="40"/>
        <v>199721.868969512</v>
      </c>
      <c r="M77" s="33">
        <f t="shared" si="40"/>
        <v>512.9333264737611</v>
      </c>
      <c r="N77" s="19">
        <f t="shared" si="40"/>
        <v>16926.800111565892</v>
      </c>
      <c r="O77" s="34">
        <f t="shared" si="40"/>
        <v>473950.41968250187</v>
      </c>
      <c r="P77" s="33">
        <f t="shared" si="40"/>
        <v>1081.2696513499095</v>
      </c>
      <c r="Q77" s="19">
        <f t="shared" si="40"/>
        <v>25950.482517215711</v>
      </c>
      <c r="R77" s="34">
        <f t="shared" si="40"/>
        <v>726613.52051041555</v>
      </c>
      <c r="S77" s="33">
        <f t="shared" si="40"/>
        <v>595.27439027849414</v>
      </c>
      <c r="T77" s="19">
        <f t="shared" si="40"/>
        <v>67265.981060961407</v>
      </c>
      <c r="U77" s="34">
        <f t="shared" si="40"/>
        <v>1883447.4448813507</v>
      </c>
      <c r="V77" s="33">
        <f t="shared" si="40"/>
        <v>134615.87065022482</v>
      </c>
      <c r="W77" s="34">
        <f t="shared" si="35"/>
        <v>3769244.378206295</v>
      </c>
      <c r="X77" s="51"/>
      <c r="Y77" s="51"/>
      <c r="Z77" s="51"/>
      <c r="AA77" s="51"/>
      <c r="AB77" s="52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</row>
    <row r="78" spans="1:39" s="108" customFormat="1" x14ac:dyDescent="0.25">
      <c r="A78" s="322"/>
      <c r="B78" s="336"/>
      <c r="C78" s="119" t="s">
        <v>171</v>
      </c>
      <c r="D78" s="120" t="s">
        <v>68</v>
      </c>
      <c r="E78" s="121" t="s">
        <v>290</v>
      </c>
      <c r="F78" s="122"/>
      <c r="G78" s="123">
        <f>(G70+G72)*G90</f>
        <v>5.222206231613761</v>
      </c>
      <c r="H78" s="124">
        <f>((H70+H72)*H90)</f>
        <v>229.77723599999999</v>
      </c>
      <c r="I78" s="125">
        <f t="shared" ref="I78:U78" si="41">(I70+I72)*I90</f>
        <v>6433.7624845337132</v>
      </c>
      <c r="J78" s="123">
        <f t="shared" si="41"/>
        <v>8.1163400799389969</v>
      </c>
      <c r="K78" s="124">
        <f t="shared" si="41"/>
        <v>89.279794349510212</v>
      </c>
      <c r="L78" s="125">
        <f t="shared" si="41"/>
        <v>2499.8343041681637</v>
      </c>
      <c r="M78" s="123">
        <f t="shared" si="41"/>
        <v>6.7971483584742538</v>
      </c>
      <c r="N78" s="124">
        <f t="shared" si="41"/>
        <v>224.30590030776148</v>
      </c>
      <c r="O78" s="125">
        <f t="shared" si="41"/>
        <v>6280.5654280447625</v>
      </c>
      <c r="P78" s="123">
        <f t="shared" si="41"/>
        <v>10.623930836579133</v>
      </c>
      <c r="Q78" s="124">
        <f t="shared" si="41"/>
        <v>255.06988729460952</v>
      </c>
      <c r="R78" s="125">
        <f t="shared" si="41"/>
        <v>7142.026423300008</v>
      </c>
      <c r="S78" s="123">
        <f t="shared" si="41"/>
        <v>6.137789668257895</v>
      </c>
      <c r="T78" s="124">
        <f t="shared" si="41"/>
        <v>693.56997432401727</v>
      </c>
      <c r="U78" s="125">
        <f t="shared" si="41"/>
        <v>19419.959025099572</v>
      </c>
      <c r="V78" s="123">
        <f>H78+K78+N78+Q78+T78</f>
        <v>1492.0027922758986</v>
      </c>
      <c r="W78" s="125">
        <f t="shared" si="35"/>
        <v>41776.078183725163</v>
      </c>
      <c r="X78" s="51"/>
      <c r="Y78" s="51"/>
      <c r="Z78" s="51"/>
      <c r="AA78" s="51"/>
      <c r="AB78" s="52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</row>
    <row r="79" spans="1:39" x14ac:dyDescent="0.25">
      <c r="A79" s="323"/>
      <c r="B79" s="337"/>
      <c r="C79" s="142" t="s">
        <v>189</v>
      </c>
      <c r="D79" s="150" t="s">
        <v>7</v>
      </c>
      <c r="E79" s="151" t="s">
        <v>171</v>
      </c>
      <c r="F79" s="152"/>
      <c r="G79" s="153">
        <f t="shared" ref="G79:U79" si="42">SUM(G78)</f>
        <v>5.222206231613761</v>
      </c>
      <c r="H79" s="154">
        <f>ROUND(SUM(H78),2)</f>
        <v>229.78</v>
      </c>
      <c r="I79" s="155">
        <f>SUM(I78)</f>
        <v>6433.7624845337132</v>
      </c>
      <c r="J79" s="153">
        <f>SUM(J78)</f>
        <v>8.1163400799389969</v>
      </c>
      <c r="K79" s="154">
        <f t="shared" si="42"/>
        <v>89.279794349510212</v>
      </c>
      <c r="L79" s="155">
        <f>SUM(L78)</f>
        <v>2499.8343041681637</v>
      </c>
      <c r="M79" s="153">
        <f t="shared" si="42"/>
        <v>6.7971483584742538</v>
      </c>
      <c r="N79" s="154">
        <f t="shared" si="42"/>
        <v>224.30590030776148</v>
      </c>
      <c r="O79" s="155">
        <f t="shared" si="42"/>
        <v>6280.5654280447625</v>
      </c>
      <c r="P79" s="153">
        <f t="shared" si="42"/>
        <v>10.623930836579133</v>
      </c>
      <c r="Q79" s="154">
        <f>SUM(Q78)</f>
        <v>255.06988729460952</v>
      </c>
      <c r="R79" s="155">
        <f t="shared" si="42"/>
        <v>7142.026423300008</v>
      </c>
      <c r="S79" s="153">
        <f t="shared" si="42"/>
        <v>6.137789668257895</v>
      </c>
      <c r="T79" s="154">
        <f t="shared" si="42"/>
        <v>693.56997432401727</v>
      </c>
      <c r="U79" s="155">
        <f t="shared" si="42"/>
        <v>19419.959025099572</v>
      </c>
      <c r="V79" s="153">
        <f>SUM(V78)</f>
        <v>1492.0027922758986</v>
      </c>
      <c r="W79" s="155">
        <f t="shared" si="35"/>
        <v>41776.078183725163</v>
      </c>
    </row>
    <row r="80" spans="1:39" x14ac:dyDescent="0.25">
      <c r="A80" s="318" t="s">
        <v>94</v>
      </c>
      <c r="B80" s="319"/>
      <c r="C80" s="319"/>
      <c r="D80" s="319"/>
      <c r="E80" s="319"/>
      <c r="F80" s="320"/>
      <c r="G80" s="33">
        <f>G72+G77+G79</f>
        <v>404.72370327721114</v>
      </c>
      <c r="H80" s="19">
        <f>ROUND(H72+H77+H79,2)</f>
        <v>17807.939999999999</v>
      </c>
      <c r="I80" s="34">
        <f t="shared" ref="I80:O80" si="43">I72+I77+I79</f>
        <v>498622.26575079712</v>
      </c>
      <c r="J80" s="33">
        <f t="shared" si="43"/>
        <v>665.26795475869119</v>
      </c>
      <c r="K80" s="19">
        <f t="shared" si="43"/>
        <v>7317.9832808125248</v>
      </c>
      <c r="L80" s="34">
        <f t="shared" si="43"/>
        <v>204903.57360429541</v>
      </c>
      <c r="M80" s="33">
        <f t="shared" si="43"/>
        <v>526.47025813577307</v>
      </c>
      <c r="N80" s="19">
        <f t="shared" si="43"/>
        <v>17373.521348729872</v>
      </c>
      <c r="O80" s="34">
        <f t="shared" si="43"/>
        <v>486458.73644665501</v>
      </c>
      <c r="P80" s="33">
        <f t="shared" ref="P80:U80" si="44">P72+P77+P79</f>
        <v>1103.0442248014883</v>
      </c>
      <c r="Q80" s="19">
        <f>Q72+Q77+Q79</f>
        <v>26473.152557864549</v>
      </c>
      <c r="R80" s="34">
        <f>R72+R77+R79</f>
        <v>741248.35560995352</v>
      </c>
      <c r="S80" s="33">
        <f t="shared" si="44"/>
        <v>607.75122917463966</v>
      </c>
      <c r="T80" s="19">
        <f>T72+T77+T79</f>
        <v>68675.679177233265</v>
      </c>
      <c r="U80" s="34">
        <f t="shared" si="44"/>
        <v>1922918.8090431979</v>
      </c>
      <c r="V80" s="33">
        <f>V72+V77+V79</f>
        <v>137648.27414279262</v>
      </c>
      <c r="W80" s="34">
        <f>V80*28</f>
        <v>3854151.6759981932</v>
      </c>
    </row>
    <row r="81" spans="1:28" ht="16.5" thickBot="1" x14ac:dyDescent="0.3">
      <c r="A81" s="338" t="s">
        <v>69</v>
      </c>
      <c r="B81" s="339"/>
      <c r="C81" s="339"/>
      <c r="D81" s="339"/>
      <c r="E81" s="339"/>
      <c r="F81" s="340"/>
      <c r="G81" s="37">
        <f t="shared" ref="G81:S81" si="45">G70+G80</f>
        <v>3300.531331434795</v>
      </c>
      <c r="H81" s="38">
        <f>ROUND(H70+H80,2)</f>
        <v>145223.48000000001</v>
      </c>
      <c r="I81" s="39">
        <f>I70+I80</f>
        <v>4066257.3857507971</v>
      </c>
      <c r="J81" s="37">
        <f t="shared" si="45"/>
        <v>5430.8812561454715</v>
      </c>
      <c r="K81" s="38">
        <f>K70+K80</f>
        <v>59739.729596067104</v>
      </c>
      <c r="L81" s="39">
        <f>L70+L80</f>
        <v>1672712.4704314237</v>
      </c>
      <c r="M81" s="37">
        <f>M70+M80</f>
        <v>4295.9240073179326</v>
      </c>
      <c r="N81" s="38">
        <f>N70+N80</f>
        <v>141765.49507174114</v>
      </c>
      <c r="O81" s="39">
        <f>O70+O80</f>
        <v>3969434.0006909701</v>
      </c>
      <c r="P81" s="37">
        <f t="shared" si="45"/>
        <v>9055.8597265486569</v>
      </c>
      <c r="Q81" s="38">
        <f>Q70+Q80</f>
        <v>217340.72459979658</v>
      </c>
      <c r="R81" s="39">
        <f>R70+R80</f>
        <v>6085540.3727840502</v>
      </c>
      <c r="S81" s="37">
        <f t="shared" si="45"/>
        <v>4985.5476572738198</v>
      </c>
      <c r="T81" s="38">
        <f>T70+T80</f>
        <v>563366.67555244057</v>
      </c>
      <c r="U81" s="39">
        <f>U70+U80</f>
        <v>15774266.707549002</v>
      </c>
      <c r="V81" s="41">
        <f>V70+V80</f>
        <v>1127436.1025981978</v>
      </c>
      <c r="W81" s="39">
        <f>W70+W80</f>
        <v>31568210.872749537</v>
      </c>
    </row>
    <row r="82" spans="1:28" ht="16.5" thickBot="1" x14ac:dyDescent="0.3">
      <c r="A82" s="308" t="s">
        <v>304</v>
      </c>
      <c r="B82" s="309"/>
      <c r="C82" s="309"/>
      <c r="D82" s="309"/>
      <c r="E82" s="309"/>
      <c r="F82" s="310"/>
      <c r="G82" s="42">
        <f>(G81*11.94%)</f>
        <v>394.08344097331451</v>
      </c>
      <c r="H82" s="45">
        <f>((H81*11.94%))</f>
        <v>17339.683512</v>
      </c>
      <c r="I82" s="24">
        <f t="shared" ref="I82:U82" si="46">(I81*11.94%)</f>
        <v>485511.13185864512</v>
      </c>
      <c r="J82" s="42">
        <f t="shared" si="46"/>
        <v>648.44722198376928</v>
      </c>
      <c r="K82" s="45">
        <f t="shared" si="46"/>
        <v>7132.9237137704113</v>
      </c>
      <c r="L82" s="24">
        <f t="shared" si="46"/>
        <v>199721.86896951197</v>
      </c>
      <c r="M82" s="42">
        <f t="shared" si="46"/>
        <v>512.9333264737611</v>
      </c>
      <c r="N82" s="45">
        <f t="shared" si="46"/>
        <v>16926.800111565892</v>
      </c>
      <c r="O82" s="24">
        <f t="shared" si="46"/>
        <v>473950.41968250182</v>
      </c>
      <c r="P82" s="42">
        <f t="shared" si="46"/>
        <v>1081.2696513499095</v>
      </c>
      <c r="Q82" s="45">
        <f t="shared" si="46"/>
        <v>25950.482517215711</v>
      </c>
      <c r="R82" s="24">
        <f t="shared" si="46"/>
        <v>726613.52051041555</v>
      </c>
      <c r="S82" s="42">
        <f t="shared" si="46"/>
        <v>595.27439027849402</v>
      </c>
      <c r="T82" s="45">
        <f t="shared" si="46"/>
        <v>67265.981060961407</v>
      </c>
      <c r="U82" s="24">
        <f t="shared" si="46"/>
        <v>1883447.4448813507</v>
      </c>
      <c r="V82" s="41"/>
      <c r="W82" s="39"/>
    </row>
    <row r="83" spans="1:28" ht="16.5" thickBot="1" x14ac:dyDescent="0.3">
      <c r="A83" s="308" t="s">
        <v>305</v>
      </c>
      <c r="B83" s="309"/>
      <c r="C83" s="309"/>
      <c r="D83" s="309"/>
      <c r="E83" s="309"/>
      <c r="F83" s="310"/>
      <c r="G83" s="43">
        <f>(G81-G82)</f>
        <v>2906.4478904614807</v>
      </c>
      <c r="H83" s="46">
        <f>((H81-H82))</f>
        <v>127883.79648800001</v>
      </c>
      <c r="I83" s="23">
        <f t="shared" ref="I83:U83" si="47">(I81-I82)</f>
        <v>3580746.2538921521</v>
      </c>
      <c r="J83" s="43">
        <f t="shared" si="47"/>
        <v>4782.4340341617026</v>
      </c>
      <c r="K83" s="46">
        <f t="shared" si="47"/>
        <v>52606.805882296692</v>
      </c>
      <c r="L83" s="23">
        <f t="shared" si="47"/>
        <v>1472990.6014619118</v>
      </c>
      <c r="M83" s="43">
        <f t="shared" si="47"/>
        <v>3782.9906808441715</v>
      </c>
      <c r="N83" s="46">
        <f t="shared" si="47"/>
        <v>124838.69496017526</v>
      </c>
      <c r="O83" s="23">
        <f t="shared" si="47"/>
        <v>3495483.5810084683</v>
      </c>
      <c r="P83" s="43">
        <f t="shared" si="47"/>
        <v>7974.5900751987474</v>
      </c>
      <c r="Q83" s="46">
        <f t="shared" si="47"/>
        <v>191390.24208258087</v>
      </c>
      <c r="R83" s="23">
        <f t="shared" si="47"/>
        <v>5358926.8522736346</v>
      </c>
      <c r="S83" s="43">
        <f t="shared" si="47"/>
        <v>4390.2732669953257</v>
      </c>
      <c r="T83" s="46">
        <f t="shared" si="47"/>
        <v>496100.6944914792</v>
      </c>
      <c r="U83" s="23">
        <f t="shared" si="47"/>
        <v>13890819.262667652</v>
      </c>
      <c r="V83" s="41"/>
      <c r="W83" s="39"/>
    </row>
    <row r="84" spans="1:28" ht="16.5" thickBot="1" x14ac:dyDescent="0.3">
      <c r="A84" s="308" t="s">
        <v>306</v>
      </c>
      <c r="B84" s="309"/>
      <c r="C84" s="309"/>
      <c r="D84" s="309"/>
      <c r="E84" s="309"/>
      <c r="F84" s="310"/>
      <c r="G84" s="43">
        <f>(G83*11.94%)</f>
        <v>347.02987812110075</v>
      </c>
      <c r="H84" s="46">
        <f>((H83*11.94%))</f>
        <v>15269.3253006672</v>
      </c>
      <c r="I84" s="23">
        <f t="shared" ref="I84:U84" si="48">(I83*11.94%)</f>
        <v>427541.10271472292</v>
      </c>
      <c r="J84" s="43">
        <f t="shared" si="48"/>
        <v>571.02262367890728</v>
      </c>
      <c r="K84" s="46">
        <f t="shared" si="48"/>
        <v>6281.2526223462246</v>
      </c>
      <c r="L84" s="23">
        <f t="shared" si="48"/>
        <v>175875.07781455226</v>
      </c>
      <c r="M84" s="43">
        <f t="shared" si="48"/>
        <v>451.68908729279406</v>
      </c>
      <c r="N84" s="46">
        <f t="shared" si="48"/>
        <v>14905.740178244925</v>
      </c>
      <c r="O84" s="23">
        <f t="shared" si="48"/>
        <v>417360.73957241111</v>
      </c>
      <c r="P84" s="43">
        <f t="shared" si="48"/>
        <v>952.16605497873036</v>
      </c>
      <c r="Q84" s="46">
        <f t="shared" si="48"/>
        <v>22851.994904660154</v>
      </c>
      <c r="R84" s="23">
        <f t="shared" si="48"/>
        <v>639855.86616147193</v>
      </c>
      <c r="S84" s="43">
        <f t="shared" si="48"/>
        <v>524.19862807924187</v>
      </c>
      <c r="T84" s="46">
        <f t="shared" si="48"/>
        <v>59234.422922282611</v>
      </c>
      <c r="U84" s="23">
        <f t="shared" si="48"/>
        <v>1658563.8199625176</v>
      </c>
      <c r="V84" s="41"/>
      <c r="W84" s="39"/>
    </row>
    <row r="85" spans="1:28" ht="16.5" thickBot="1" x14ac:dyDescent="0.3">
      <c r="A85" s="308" t="s">
        <v>307</v>
      </c>
      <c r="B85" s="309"/>
      <c r="C85" s="309"/>
      <c r="D85" s="309"/>
      <c r="E85" s="309"/>
      <c r="F85" s="310"/>
      <c r="G85" s="44">
        <f t="shared" ref="G85:U85" si="49">(G83+G84)</f>
        <v>3253.4777685825816</v>
      </c>
      <c r="H85" s="48">
        <f>(H83+H84)</f>
        <v>143153.12178866719</v>
      </c>
      <c r="I85" s="49">
        <f t="shared" si="49"/>
        <v>4008287.3566068751</v>
      </c>
      <c r="J85" s="44">
        <f t="shared" si="49"/>
        <v>5353.4566578406102</v>
      </c>
      <c r="K85" s="48">
        <f t="shared" si="49"/>
        <v>58888.058504642919</v>
      </c>
      <c r="L85" s="49">
        <f t="shared" si="49"/>
        <v>1648865.679276464</v>
      </c>
      <c r="M85" s="44">
        <f t="shared" si="49"/>
        <v>4234.6797681369653</v>
      </c>
      <c r="N85" s="48">
        <f t="shared" si="49"/>
        <v>139744.43513842017</v>
      </c>
      <c r="O85" s="49">
        <f t="shared" si="49"/>
        <v>3912844.3205808792</v>
      </c>
      <c r="P85" s="44">
        <f t="shared" si="49"/>
        <v>8926.7561301774786</v>
      </c>
      <c r="Q85" s="48">
        <f t="shared" si="49"/>
        <v>214242.23698724102</v>
      </c>
      <c r="R85" s="49">
        <f t="shared" si="49"/>
        <v>5998782.7184351068</v>
      </c>
      <c r="S85" s="44">
        <f t="shared" si="49"/>
        <v>4914.4718950745673</v>
      </c>
      <c r="T85" s="48">
        <f t="shared" si="49"/>
        <v>555335.11741376179</v>
      </c>
      <c r="U85" s="49">
        <f t="shared" si="49"/>
        <v>15549383.082630171</v>
      </c>
      <c r="V85" s="47">
        <f>T85+Q85+N85+K85+H85</f>
        <v>1111362.9698327333</v>
      </c>
      <c r="W85" s="168">
        <f>((V85*28))</f>
        <v>31118163.155316532</v>
      </c>
    </row>
    <row r="86" spans="1:28" ht="16.5" thickBot="1" x14ac:dyDescent="0.3">
      <c r="A86" s="308" t="s">
        <v>308</v>
      </c>
      <c r="B86" s="309"/>
      <c r="C86" s="309"/>
      <c r="D86" s="309"/>
      <c r="E86" s="309"/>
      <c r="F86" s="310"/>
      <c r="G86" s="132"/>
      <c r="H86" s="133"/>
      <c r="I86" s="133"/>
      <c r="J86" s="132"/>
      <c r="M86" s="132"/>
      <c r="P86" s="132"/>
      <c r="S86" s="132"/>
    </row>
    <row r="87" spans="1:28" ht="16.5" thickBot="1" x14ac:dyDescent="0.3">
      <c r="A87" s="308" t="s">
        <v>199</v>
      </c>
      <c r="B87" s="309"/>
      <c r="C87" s="309"/>
      <c r="D87" s="309"/>
      <c r="E87" s="309"/>
      <c r="F87" s="310"/>
      <c r="G87" s="67"/>
      <c r="J87" s="67"/>
      <c r="M87" s="67"/>
      <c r="P87" s="67"/>
      <c r="S87" s="67"/>
    </row>
    <row r="88" spans="1:28" ht="16.5" thickBot="1" x14ac:dyDescent="0.3">
      <c r="C88" s="53"/>
      <c r="G88" s="157" t="s">
        <v>45</v>
      </c>
      <c r="H88" s="158" t="s">
        <v>45</v>
      </c>
      <c r="I88" s="159" t="s">
        <v>45</v>
      </c>
      <c r="J88" s="157" t="s">
        <v>45</v>
      </c>
      <c r="K88" s="158" t="s">
        <v>45</v>
      </c>
      <c r="L88" s="159" t="s">
        <v>45</v>
      </c>
      <c r="M88" s="157" t="s">
        <v>45</v>
      </c>
      <c r="N88" s="158" t="s">
        <v>45</v>
      </c>
      <c r="O88" s="159" t="s">
        <v>45</v>
      </c>
      <c r="P88" s="157" t="s">
        <v>45</v>
      </c>
      <c r="Q88" s="158" t="s">
        <v>45</v>
      </c>
      <c r="R88" s="159" t="s">
        <v>45</v>
      </c>
      <c r="S88" s="157" t="s">
        <v>45</v>
      </c>
      <c r="T88" s="158" t="s">
        <v>45</v>
      </c>
      <c r="U88" s="159" t="s">
        <v>45</v>
      </c>
      <c r="V88" s="52"/>
      <c r="W88" s="52"/>
      <c r="AB88" s="52"/>
    </row>
    <row r="89" spans="1:28" ht="16.5" thickBot="1" x14ac:dyDescent="0.3">
      <c r="E89" s="156" t="s">
        <v>287</v>
      </c>
      <c r="G89" s="160">
        <v>1.8710000000000001E-3</v>
      </c>
      <c r="H89" s="161">
        <v>1.8716500000000001E-3</v>
      </c>
      <c r="I89" s="162">
        <v>1.8716519999999999E-3</v>
      </c>
      <c r="J89" s="160">
        <v>1.8265E-3</v>
      </c>
      <c r="K89" s="161">
        <v>1.8270999999999999E-3</v>
      </c>
      <c r="L89" s="162">
        <v>1.827125E-3</v>
      </c>
      <c r="M89" s="160">
        <v>1.7880000000000001E-3</v>
      </c>
      <c r="N89" s="161">
        <v>1.78802E-3</v>
      </c>
      <c r="O89" s="162">
        <v>1.788055E-3</v>
      </c>
      <c r="P89" s="160">
        <v>1.4021000000000001E-3</v>
      </c>
      <c r="Q89" s="161">
        <v>1.4020199999999999E-3</v>
      </c>
      <c r="R89" s="162">
        <v>1.4020208199999999E-3</v>
      </c>
      <c r="S89" s="160">
        <v>1.4480000000000001E-3</v>
      </c>
      <c r="T89" s="161">
        <v>1.4476272E-3</v>
      </c>
      <c r="U89" s="162">
        <v>1.4476140000000001E-3</v>
      </c>
    </row>
    <row r="90" spans="1:28" ht="16.5" thickBot="1" x14ac:dyDescent="0.3">
      <c r="E90" s="156" t="s">
        <v>288</v>
      </c>
      <c r="G90" s="163">
        <v>1.8E-3</v>
      </c>
      <c r="H90" s="164">
        <v>1.8E-3</v>
      </c>
      <c r="I90" s="165">
        <v>1.8E-3</v>
      </c>
      <c r="J90" s="163">
        <v>1.6999999999999999E-3</v>
      </c>
      <c r="K90" s="164">
        <v>1.6999999999999999E-3</v>
      </c>
      <c r="L90" s="165">
        <v>1.6999999999999999E-3</v>
      </c>
      <c r="M90" s="163">
        <v>1.8E-3</v>
      </c>
      <c r="N90" s="164">
        <v>1.8E-3</v>
      </c>
      <c r="O90" s="165">
        <v>1.8E-3</v>
      </c>
      <c r="P90" s="163">
        <v>1.3339999999999999E-3</v>
      </c>
      <c r="Q90" s="164">
        <v>1.3345E-3</v>
      </c>
      <c r="R90" s="165">
        <v>1.3345130000000001E-3</v>
      </c>
      <c r="S90" s="163">
        <v>1.4E-3</v>
      </c>
      <c r="T90" s="164">
        <v>1.4E-3</v>
      </c>
      <c r="U90" s="165">
        <v>1.4E-3</v>
      </c>
    </row>
    <row r="91" spans="1:28" x14ac:dyDescent="0.25">
      <c r="A91" s="68"/>
      <c r="B91" s="68"/>
      <c r="C91" s="68"/>
      <c r="D91" s="68"/>
      <c r="E91" s="68"/>
      <c r="F91" s="68"/>
      <c r="G91" s="68"/>
      <c r="H91" s="68"/>
      <c r="I91" s="68"/>
      <c r="J91" s="68"/>
    </row>
    <row r="92" spans="1:28" x14ac:dyDescent="0.25">
      <c r="A92" s="68"/>
      <c r="B92" s="68"/>
      <c r="C92" s="68"/>
      <c r="D92" s="68"/>
      <c r="E92" s="68"/>
      <c r="F92" s="68"/>
      <c r="G92" s="68"/>
      <c r="H92" s="68"/>
      <c r="I92" s="68"/>
      <c r="J92" s="68"/>
    </row>
    <row r="93" spans="1:28" x14ac:dyDescent="0.25">
      <c r="A93" s="68"/>
      <c r="B93" s="68"/>
      <c r="C93" s="68"/>
      <c r="D93" s="68"/>
      <c r="E93" s="68"/>
      <c r="F93" s="68"/>
      <c r="G93" s="68"/>
      <c r="H93" s="68"/>
      <c r="I93" s="68"/>
      <c r="J93" s="68"/>
    </row>
    <row r="94" spans="1:28" x14ac:dyDescent="0.25">
      <c r="A94" s="68"/>
      <c r="B94" s="68"/>
      <c r="C94" s="68"/>
      <c r="D94" s="68"/>
      <c r="E94" s="68"/>
      <c r="F94" s="68"/>
      <c r="G94" s="169"/>
      <c r="H94" s="68"/>
      <c r="I94" s="341"/>
      <c r="J94" s="341"/>
      <c r="M94" s="333"/>
      <c r="N94" s="334"/>
      <c r="P94" s="333"/>
      <c r="Q94" s="334"/>
      <c r="S94" s="333"/>
      <c r="T94" s="334"/>
    </row>
    <row r="95" spans="1:28" x14ac:dyDescent="0.25">
      <c r="A95" s="68"/>
      <c r="B95" s="68"/>
      <c r="C95" s="68"/>
      <c r="D95" s="68"/>
      <c r="E95" s="68"/>
      <c r="F95" s="68"/>
      <c r="G95" s="68"/>
      <c r="H95" s="68"/>
      <c r="I95" s="68"/>
      <c r="J95" s="68"/>
    </row>
    <row r="96" spans="1:28" x14ac:dyDescent="0.25">
      <c r="A96" s="68"/>
      <c r="B96" s="68"/>
      <c r="C96" s="68"/>
      <c r="D96" s="68"/>
      <c r="E96" s="68"/>
      <c r="F96" s="68"/>
      <c r="G96" s="68"/>
      <c r="H96" s="68"/>
      <c r="I96" s="68"/>
      <c r="J96" s="68"/>
    </row>
    <row r="97" spans="1:1" x14ac:dyDescent="0.25">
      <c r="A97" s="21"/>
    </row>
    <row r="98" spans="1:1" x14ac:dyDescent="0.25">
      <c r="A98" s="21"/>
    </row>
  </sheetData>
  <mergeCells count="38">
    <mergeCell ref="P94:Q94"/>
    <mergeCell ref="S94:T94"/>
    <mergeCell ref="B71:B79"/>
    <mergeCell ref="A80:F80"/>
    <mergeCell ref="A81:F81"/>
    <mergeCell ref="I94:J94"/>
    <mergeCell ref="M94:N94"/>
    <mergeCell ref="A87:F87"/>
    <mergeCell ref="A85:F85"/>
    <mergeCell ref="A86:F86"/>
    <mergeCell ref="A1:W1"/>
    <mergeCell ref="B6:B15"/>
    <mergeCell ref="B16:B21"/>
    <mergeCell ref="A6:A21"/>
    <mergeCell ref="B22:B31"/>
    <mergeCell ref="G2:I2"/>
    <mergeCell ref="J2:L2"/>
    <mergeCell ref="M2:O2"/>
    <mergeCell ref="P2:R2"/>
    <mergeCell ref="S2:U2"/>
    <mergeCell ref="A2:A5"/>
    <mergeCell ref="B2:B5"/>
    <mergeCell ref="C2:C5"/>
    <mergeCell ref="D2:D5"/>
    <mergeCell ref="A22:A67"/>
    <mergeCell ref="V2:W2"/>
    <mergeCell ref="V3:W3"/>
    <mergeCell ref="V4:W4"/>
    <mergeCell ref="A82:F82"/>
    <mergeCell ref="A83:F83"/>
    <mergeCell ref="A84:F84"/>
    <mergeCell ref="B32:B41"/>
    <mergeCell ref="B42:B54"/>
    <mergeCell ref="B55:B66"/>
    <mergeCell ref="A68:A69"/>
    <mergeCell ref="B68:B69"/>
    <mergeCell ref="A70:F70"/>
    <mergeCell ref="A71:A79"/>
  </mergeCells>
  <pageMargins left="0.31496062992125984" right="0.70866141732283472" top="0.78740157480314965" bottom="0.78740157480314965" header="0.31496062992125984" footer="0.31496062992125984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G11" sqref="G11"/>
    </sheetView>
  </sheetViews>
  <sheetFormatPr defaultRowHeight="15.75" x14ac:dyDescent="0.25"/>
  <cols>
    <col min="3" max="3" width="22" bestFit="1" customWidth="1"/>
    <col min="6" max="6" width="12.75" bestFit="1" customWidth="1"/>
    <col min="7" max="7" width="13.875" bestFit="1" customWidth="1"/>
    <col min="8" max="8" width="16.375" bestFit="1" customWidth="1"/>
  </cols>
  <sheetData>
    <row r="1" spans="1:8" ht="47.25" x14ac:dyDescent="0.25">
      <c r="A1" s="62" t="s">
        <v>247</v>
      </c>
      <c r="B1" s="63" t="s">
        <v>248</v>
      </c>
      <c r="C1" s="63" t="s">
        <v>249</v>
      </c>
      <c r="D1" s="63" t="s">
        <v>250</v>
      </c>
      <c r="E1" s="63" t="s">
        <v>251</v>
      </c>
      <c r="F1" s="64" t="s">
        <v>252</v>
      </c>
      <c r="G1" s="64" t="s">
        <v>253</v>
      </c>
      <c r="H1" s="65" t="s">
        <v>254</v>
      </c>
    </row>
    <row r="2" spans="1:8" x14ac:dyDescent="0.25">
      <c r="A2" s="345">
        <v>16</v>
      </c>
      <c r="B2" s="54">
        <v>87</v>
      </c>
      <c r="C2" s="55" t="s">
        <v>36</v>
      </c>
      <c r="D2" s="54" t="s">
        <v>255</v>
      </c>
      <c r="E2" s="54">
        <v>44</v>
      </c>
      <c r="F2" s="66">
        <f>ROUND('Precificação Total'!G85,2)</f>
        <v>3253.48</v>
      </c>
      <c r="G2" s="56">
        <f t="shared" ref="G2:G6" si="0">F2*28</f>
        <v>91097.44</v>
      </c>
      <c r="H2" s="57">
        <f>E2*F2*28</f>
        <v>4008287.36</v>
      </c>
    </row>
    <row r="3" spans="1:8" x14ac:dyDescent="0.25">
      <c r="A3" s="346"/>
      <c r="B3" s="54">
        <f t="shared" ref="B3:B6" si="1">B2+1</f>
        <v>88</v>
      </c>
      <c r="C3" s="55" t="s">
        <v>37</v>
      </c>
      <c r="D3" s="54" t="s">
        <v>255</v>
      </c>
      <c r="E3" s="54">
        <v>11</v>
      </c>
      <c r="F3" s="66">
        <f>ROUND('Precificação Total'!J85,2)</f>
        <v>5353.46</v>
      </c>
      <c r="G3" s="56">
        <f t="shared" si="0"/>
        <v>149896.88</v>
      </c>
      <c r="H3" s="57">
        <f t="shared" ref="H3:H6" si="2">E3*F3*28</f>
        <v>1648865.68</v>
      </c>
    </row>
    <row r="4" spans="1:8" x14ac:dyDescent="0.25">
      <c r="A4" s="346"/>
      <c r="B4" s="54">
        <f t="shared" si="1"/>
        <v>89</v>
      </c>
      <c r="C4" s="55" t="s">
        <v>38</v>
      </c>
      <c r="D4" s="54" t="s">
        <v>255</v>
      </c>
      <c r="E4" s="54">
        <v>33</v>
      </c>
      <c r="F4" s="66">
        <f>ROUND('Precificação Total'!M85,2)</f>
        <v>4234.68</v>
      </c>
      <c r="G4" s="56">
        <f t="shared" si="0"/>
        <v>118571.04000000001</v>
      </c>
      <c r="H4" s="57">
        <f t="shared" si="2"/>
        <v>3912844.3200000003</v>
      </c>
    </row>
    <row r="5" spans="1:8" x14ac:dyDescent="0.25">
      <c r="A5" s="346"/>
      <c r="B5" s="54">
        <f t="shared" si="1"/>
        <v>90</v>
      </c>
      <c r="C5" s="55" t="s">
        <v>39</v>
      </c>
      <c r="D5" s="54" t="s">
        <v>255</v>
      </c>
      <c r="E5" s="54">
        <v>24</v>
      </c>
      <c r="F5" s="66">
        <f>ROUND('Precificação Total'!P85,2)</f>
        <v>8926.76</v>
      </c>
      <c r="G5" s="56">
        <f t="shared" si="0"/>
        <v>249949.28</v>
      </c>
      <c r="H5" s="57">
        <f t="shared" si="2"/>
        <v>5998782.7199999997</v>
      </c>
    </row>
    <row r="6" spans="1:8" x14ac:dyDescent="0.25">
      <c r="A6" s="347"/>
      <c r="B6" s="54">
        <f t="shared" si="1"/>
        <v>91</v>
      </c>
      <c r="C6" s="55" t="s">
        <v>40</v>
      </c>
      <c r="D6" s="54" t="s">
        <v>255</v>
      </c>
      <c r="E6" s="54">
        <v>113</v>
      </c>
      <c r="F6" s="66">
        <f>ROUND('Precificação Total'!S85,2)</f>
        <v>4914.47</v>
      </c>
      <c r="G6" s="56">
        <f t="shared" si="0"/>
        <v>137605.16</v>
      </c>
      <c r="H6" s="57">
        <f t="shared" si="2"/>
        <v>15549383.08</v>
      </c>
    </row>
    <row r="7" spans="1:8" ht="16.5" thickBot="1" x14ac:dyDescent="0.3">
      <c r="A7" s="342" t="s">
        <v>256</v>
      </c>
      <c r="B7" s="343"/>
      <c r="C7" s="343"/>
      <c r="D7" s="344"/>
      <c r="E7" s="58">
        <f>SUM(E2:E6)</f>
        <v>225</v>
      </c>
      <c r="F7" s="59"/>
      <c r="G7" s="60"/>
      <c r="H7" s="61">
        <f>SUM(H2:H6)</f>
        <v>31118163.159999996</v>
      </c>
    </row>
  </sheetData>
  <mergeCells count="2">
    <mergeCell ref="A7:D7"/>
    <mergeCell ref="A2:A6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zoomScale="89" zoomScaleNormal="89" workbookViewId="0">
      <selection activeCell="F16" sqref="F16"/>
    </sheetView>
  </sheetViews>
  <sheetFormatPr defaultColWidth="10.75" defaultRowHeight="20.100000000000001" customHeight="1" x14ac:dyDescent="0.2"/>
  <cols>
    <col min="1" max="1" width="41.5" style="187" customWidth="1"/>
    <col min="2" max="3" width="13.75" style="188" customWidth="1"/>
    <col min="4" max="4" width="12.75" style="188" customWidth="1"/>
    <col min="5" max="16384" width="10.75" style="186"/>
  </cols>
  <sheetData>
    <row r="1" spans="1:4" ht="20.100000000000001" customHeight="1" x14ac:dyDescent="0.2">
      <c r="A1" s="354" t="s">
        <v>300</v>
      </c>
      <c r="B1" s="355"/>
      <c r="C1" s="355"/>
      <c r="D1" s="356"/>
    </row>
    <row r="2" spans="1:4" ht="29.25" customHeight="1" x14ac:dyDescent="0.2">
      <c r="A2" s="189" t="s">
        <v>292</v>
      </c>
      <c r="B2" s="190" t="s">
        <v>257</v>
      </c>
      <c r="C2" s="191" t="s">
        <v>293</v>
      </c>
      <c r="D2" s="192" t="s">
        <v>294</v>
      </c>
    </row>
    <row r="3" spans="1:4" ht="20.100000000000001" customHeight="1" x14ac:dyDescent="0.2">
      <c r="A3" s="193" t="s">
        <v>295</v>
      </c>
      <c r="B3" s="195">
        <v>2.2999999999999998</v>
      </c>
      <c r="C3" s="195">
        <v>6</v>
      </c>
      <c r="D3" s="196">
        <f>B3*C3</f>
        <v>13.799999999999999</v>
      </c>
    </row>
    <row r="4" spans="1:4" ht="32.25" customHeight="1" x14ac:dyDescent="0.2">
      <c r="A4" s="194" t="s">
        <v>296</v>
      </c>
      <c r="B4" s="195">
        <v>2.2999999999999998</v>
      </c>
      <c r="C4" s="195">
        <v>6</v>
      </c>
      <c r="D4" s="196">
        <f t="shared" ref="D4:D6" si="0">B4*C4</f>
        <v>13.799999999999999</v>
      </c>
    </row>
    <row r="5" spans="1:4" ht="20.100000000000001" customHeight="1" x14ac:dyDescent="0.2">
      <c r="A5" s="193" t="s">
        <v>297</v>
      </c>
      <c r="B5" s="195">
        <v>18.03</v>
      </c>
      <c r="C5" s="195">
        <v>6</v>
      </c>
      <c r="D5" s="196">
        <f t="shared" si="0"/>
        <v>108.18</v>
      </c>
    </row>
    <row r="6" spans="1:4" ht="20.100000000000001" customHeight="1" x14ac:dyDescent="0.2">
      <c r="A6" s="193" t="s">
        <v>298</v>
      </c>
      <c r="B6" s="195">
        <v>0.7</v>
      </c>
      <c r="C6" s="195">
        <v>6</v>
      </c>
      <c r="D6" s="196">
        <f t="shared" si="0"/>
        <v>4.1999999999999993</v>
      </c>
    </row>
    <row r="7" spans="1:4" ht="20.100000000000001" customHeight="1" x14ac:dyDescent="0.2">
      <c r="A7" s="348" t="s">
        <v>303</v>
      </c>
      <c r="B7" s="349"/>
      <c r="C7" s="350"/>
      <c r="D7" s="197">
        <f>SUM(D3:D6)</f>
        <v>139.97999999999999</v>
      </c>
    </row>
    <row r="8" spans="1:4" ht="20.100000000000001" customHeight="1" thickBot="1" x14ac:dyDescent="0.25">
      <c r="A8" s="357" t="s">
        <v>302</v>
      </c>
      <c r="B8" s="358"/>
      <c r="C8" s="359"/>
      <c r="D8" s="204">
        <f>D7/6</f>
        <v>23.33</v>
      </c>
    </row>
    <row r="9" spans="1:4" ht="20.100000000000001" customHeight="1" thickBot="1" x14ac:dyDescent="0.25">
      <c r="A9" s="351" t="s">
        <v>299</v>
      </c>
      <c r="B9" s="352"/>
      <c r="C9" s="353"/>
      <c r="D9" s="198">
        <f>ROUND(D8*6/28,2)</f>
        <v>5</v>
      </c>
    </row>
    <row r="10" spans="1:4" ht="20.100000000000001" customHeight="1" thickBot="1" x14ac:dyDescent="0.25">
      <c r="A10" s="201"/>
      <c r="B10" s="202"/>
      <c r="C10" s="202"/>
      <c r="D10" s="202"/>
    </row>
    <row r="11" spans="1:4" ht="20.100000000000001" customHeight="1" x14ac:dyDescent="0.2">
      <c r="A11" s="354" t="s">
        <v>301</v>
      </c>
      <c r="B11" s="355"/>
      <c r="C11" s="355"/>
      <c r="D11" s="356"/>
    </row>
    <row r="12" spans="1:4" ht="27.75" customHeight="1" x14ac:dyDescent="0.2">
      <c r="A12" s="189" t="s">
        <v>292</v>
      </c>
      <c r="B12" s="190" t="s">
        <v>257</v>
      </c>
      <c r="C12" s="191" t="s">
        <v>293</v>
      </c>
      <c r="D12" s="192" t="s">
        <v>294</v>
      </c>
    </row>
    <row r="13" spans="1:4" ht="20.100000000000001" customHeight="1" x14ac:dyDescent="0.2">
      <c r="A13" s="199" t="s">
        <v>295</v>
      </c>
      <c r="B13" s="195">
        <f>B3</f>
        <v>2.2999999999999998</v>
      </c>
      <c r="C13" s="195">
        <v>10</v>
      </c>
      <c r="D13" s="196">
        <f>B13*C13</f>
        <v>23</v>
      </c>
    </row>
    <row r="14" spans="1:4" ht="26.25" customHeight="1" x14ac:dyDescent="0.2">
      <c r="A14" s="200" t="s">
        <v>296</v>
      </c>
      <c r="B14" s="195">
        <f>B4</f>
        <v>2.2999999999999998</v>
      </c>
      <c r="C14" s="195">
        <v>10</v>
      </c>
      <c r="D14" s="196">
        <f t="shared" ref="D14:D16" si="1">B14*C14</f>
        <v>23</v>
      </c>
    </row>
    <row r="15" spans="1:4" ht="20.100000000000001" customHeight="1" x14ac:dyDescent="0.2">
      <c r="A15" s="199" t="s">
        <v>297</v>
      </c>
      <c r="B15" s="195">
        <v>18.033000000000001</v>
      </c>
      <c r="C15" s="195">
        <v>10</v>
      </c>
      <c r="D15" s="196">
        <f t="shared" si="1"/>
        <v>180.33</v>
      </c>
    </row>
    <row r="16" spans="1:4" ht="20.100000000000001" customHeight="1" x14ac:dyDescent="0.2">
      <c r="A16" s="199" t="s">
        <v>298</v>
      </c>
      <c r="B16" s="195">
        <f>B6</f>
        <v>0.7</v>
      </c>
      <c r="C16" s="195">
        <v>10</v>
      </c>
      <c r="D16" s="196">
        <f t="shared" si="1"/>
        <v>7</v>
      </c>
    </row>
    <row r="17" spans="1:4" ht="20.100000000000001" customHeight="1" x14ac:dyDescent="0.2">
      <c r="A17" s="348" t="s">
        <v>303</v>
      </c>
      <c r="B17" s="349"/>
      <c r="C17" s="350"/>
      <c r="D17" s="197">
        <f>SUM(D13:D16)</f>
        <v>233.33</v>
      </c>
    </row>
    <row r="18" spans="1:4" ht="20.100000000000001" customHeight="1" thickBot="1" x14ac:dyDescent="0.25">
      <c r="A18" s="357" t="s">
        <v>302</v>
      </c>
      <c r="B18" s="358"/>
      <c r="C18" s="359"/>
      <c r="D18" s="204">
        <f>D17/10</f>
        <v>23.333000000000002</v>
      </c>
    </row>
    <row r="19" spans="1:4" ht="19.5" customHeight="1" thickBot="1" x14ac:dyDescent="0.25">
      <c r="A19" s="351" t="s">
        <v>299</v>
      </c>
      <c r="B19" s="352"/>
      <c r="C19" s="353"/>
      <c r="D19" s="198">
        <f>ROUND(D18*10/28,2)</f>
        <v>8.33</v>
      </c>
    </row>
  </sheetData>
  <mergeCells count="8">
    <mergeCell ref="A17:C17"/>
    <mergeCell ref="A7:C7"/>
    <mergeCell ref="A19:C19"/>
    <mergeCell ref="A1:D1"/>
    <mergeCell ref="A8:C8"/>
    <mergeCell ref="A9:C9"/>
    <mergeCell ref="A11:D11"/>
    <mergeCell ref="A18:C18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PROPOSTA</vt:lpstr>
      <vt:lpstr>Precificação por Lote</vt:lpstr>
      <vt:lpstr>Precificação Total</vt:lpstr>
      <vt:lpstr>RESUMO</vt:lpstr>
      <vt:lpstr>UNIFORME</vt:lpstr>
      <vt:lpstr>'Precificação Total'!Area_de_impressao</vt:lpstr>
      <vt:lpstr>PROPOSTA!Area_de_impressao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2021-07-01T18:27:22Z</cp:lastPrinted>
  <dcterms:created xsi:type="dcterms:W3CDTF">2020-08-03T17:19:56Z</dcterms:created>
  <dcterms:modified xsi:type="dcterms:W3CDTF">2021-07-02T20:16:21Z</dcterms:modified>
</cp:coreProperties>
</file>